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Zastupitelstvo města\18. zasedání 16.12.24\14 - oblasti kultury 2025\2025\"/>
    </mc:Choice>
  </mc:AlternateContent>
  <xr:revisionPtr revIDLastSave="0" documentId="13_ncr:1_{F354689A-21EF-4C03-A2D4-C6BE61B1A0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DV-IDENTITY-0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II4" i="2"/>
  <c r="IJ4" i="2"/>
  <c r="IK4" i="2"/>
  <c r="IL4" i="2"/>
  <c r="IM4" i="2"/>
  <c r="IN4" i="2"/>
  <c r="IO4" i="2"/>
  <c r="IP4" i="2"/>
  <c r="IQ4" i="2"/>
  <c r="IR4" i="2"/>
  <c r="IS4" i="2"/>
  <c r="IT4" i="2"/>
  <c r="IU4" i="2"/>
  <c r="IV4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HH3" i="2"/>
  <c r="HI3" i="2"/>
  <c r="HJ3" i="2"/>
  <c r="HK3" i="2"/>
  <c r="HL3" i="2"/>
  <c r="HM3" i="2"/>
  <c r="HN3" i="2"/>
  <c r="HO3" i="2"/>
  <c r="HP3" i="2"/>
  <c r="HQ3" i="2"/>
  <c r="HR3" i="2"/>
  <c r="HS3" i="2"/>
  <c r="HT3" i="2"/>
  <c r="HU3" i="2"/>
  <c r="HV3" i="2"/>
  <c r="HW3" i="2"/>
  <c r="HX3" i="2"/>
  <c r="HY3" i="2"/>
  <c r="HZ3" i="2"/>
  <c r="IA3" i="2"/>
  <c r="IB3" i="2"/>
  <c r="IC3" i="2"/>
  <c r="ID3" i="2"/>
  <c r="IE3" i="2"/>
  <c r="IF3" i="2"/>
  <c r="IG3" i="2"/>
  <c r="IH3" i="2"/>
  <c r="II3" i="2"/>
  <c r="IJ3" i="2"/>
  <c r="IK3" i="2"/>
  <c r="IL3" i="2"/>
  <c r="IM3" i="2"/>
  <c r="IN3" i="2"/>
  <c r="IO3" i="2"/>
  <c r="IP3" i="2"/>
  <c r="IQ3" i="2"/>
  <c r="IR3" i="2"/>
  <c r="IS3" i="2"/>
  <c r="IT3" i="2"/>
  <c r="IU3" i="2"/>
  <c r="IV3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A1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</calcChain>
</file>

<file path=xl/sharedStrings.xml><?xml version="1.0" encoding="utf-8"?>
<sst xmlns="http://schemas.openxmlformats.org/spreadsheetml/2006/main" count="80" uniqueCount="39">
  <si>
    <t>Základní údaje</t>
  </si>
  <si>
    <t>Subjekt:</t>
  </si>
  <si>
    <t>Název</t>
  </si>
  <si>
    <t>Adresa</t>
  </si>
  <si>
    <t xml:space="preserve"> Kč</t>
  </si>
  <si>
    <t>Nevyčerpané prostředky k vrácení:</t>
  </si>
  <si>
    <t>z toho:</t>
  </si>
  <si>
    <t xml:space="preserve"> %</t>
  </si>
  <si>
    <t>Vlastní zdroje</t>
  </si>
  <si>
    <t>Účastnické poplatky, vstupné</t>
  </si>
  <si>
    <t>Položka č.</t>
  </si>
  <si>
    <t>Číslo dokladu*</t>
  </si>
  <si>
    <t>Účel použití</t>
  </si>
  <si>
    <t>Částka</t>
  </si>
  <si>
    <t>Celkové náklady</t>
  </si>
  <si>
    <t>* Uveďte podle čísla výdajového dokladu a položky peněžního deníku, nebo podle čísla výpisu z účtu.</t>
  </si>
  <si>
    <t>Příloha, která je nedílnou součástí tohoto vyúčtování, obsahuje  celkem</t>
  </si>
  <si>
    <t>Jméno</t>
  </si>
  <si>
    <t>Telefon</t>
  </si>
  <si>
    <t>Místo, datum</t>
  </si>
  <si>
    <t>Razítko a podpis odpovědné osoby</t>
  </si>
  <si>
    <t>Nevyčerpané prostředky vráceny na účet Města Žlutice dne:</t>
  </si>
  <si>
    <t>Číslo smlouvy / ze dne:</t>
  </si>
  <si>
    <t>Vyúčtování - přehled dokladů</t>
  </si>
  <si>
    <t>listů.</t>
  </si>
  <si>
    <t>Vyúčtování zpracoval:</t>
  </si>
  <si>
    <t>Vyúčtování dotace</t>
  </si>
  <si>
    <t>Ostatní (jiné dotace, dary, sponzorské příspěvky apod.)</t>
  </si>
  <si>
    <t>Název projektu:</t>
  </si>
  <si>
    <t>Místo a datum realizace projektu:</t>
  </si>
  <si>
    <t>Výše poskytnuté dotace:</t>
  </si>
  <si>
    <t>Celkové náklady projektu:</t>
  </si>
  <si>
    <t>Celkové příjmy projektu:</t>
  </si>
  <si>
    <t>Dotace města Žlutice</t>
  </si>
  <si>
    <t>Hodnocení projektu</t>
  </si>
  <si>
    <t>Zhodnocení průběhu projektu:</t>
  </si>
  <si>
    <t>E-mail</t>
  </si>
  <si>
    <t>Příloha č. 3</t>
  </si>
  <si>
    <t>Dotační program města Žlutice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</si>
</sst>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charset val="238"/>
    </font>
    <font>
      <b/>
      <sz val="10"/>
      <name val="Arial Narrow"/>
      <family val="2"/>
    </font>
    <font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12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/>
    <xf numFmtId="4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/>
    <xf numFmtId="0" fontId="6" fillId="0" borderId="6" xfId="0" applyFont="1" applyBorder="1"/>
    <xf numFmtId="0" fontId="1" fillId="0" borderId="12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" fontId="1" fillId="0" borderId="4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 indent="1"/>
    </xf>
    <xf numFmtId="4" fontId="1" fillId="0" borderId="4" xfId="0" applyNumberFormat="1" applyFont="1" applyBorder="1" applyAlignment="1">
      <alignment horizontal="left" vertical="center" indent="1"/>
    </xf>
    <xf numFmtId="4" fontId="1" fillId="0" borderId="5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Protection="1"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4" fontId="6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justify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AA66"/>
  <sheetViews>
    <sheetView tabSelected="1" workbookViewId="0">
      <selection activeCell="B4" sqref="B4:AA4"/>
    </sheetView>
  </sheetViews>
  <sheetFormatPr defaultRowHeight="13.2" x14ac:dyDescent="0.25"/>
  <cols>
    <col min="1" max="1" width="5.44140625" customWidth="1"/>
    <col min="2" max="27" width="3.5546875" customWidth="1"/>
  </cols>
  <sheetData>
    <row r="1" spans="2:27" x14ac:dyDescent="0.25">
      <c r="B1" s="79" t="s">
        <v>37</v>
      </c>
      <c r="C1" s="79"/>
      <c r="D1" s="79"/>
      <c r="E1" s="79"/>
      <c r="F1" s="79"/>
    </row>
    <row r="3" spans="2:27" ht="13.8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2:27" ht="20.399999999999999" x14ac:dyDescent="0.25">
      <c r="B4" s="17" t="s">
        <v>38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2:27" ht="13.8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2:27" ht="18" x14ac:dyDescent="0.25">
      <c r="B6" s="18" t="s">
        <v>26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2:27" ht="13.8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2:27" ht="15.6" x14ac:dyDescent="0.25">
      <c r="B8" s="20" t="s">
        <v>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23"/>
    </row>
    <row r="9" spans="2:27" ht="13.8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2:27" ht="13.8" x14ac:dyDescent="0.25">
      <c r="B10" s="25" t="s">
        <v>1</v>
      </c>
      <c r="C10" s="26"/>
      <c r="D10" s="26"/>
      <c r="E10" s="26"/>
      <c r="F10" s="41" t="s">
        <v>2</v>
      </c>
      <c r="G10" s="41"/>
      <c r="H10" s="4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2"/>
    </row>
    <row r="11" spans="2:27" ht="13.8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2:27" ht="13.8" x14ac:dyDescent="0.25">
      <c r="B12" s="25" t="s">
        <v>28</v>
      </c>
      <c r="C12" s="26"/>
      <c r="D12" s="26"/>
      <c r="E12" s="26"/>
      <c r="F12" s="26"/>
      <c r="G12" s="26"/>
      <c r="H12" s="26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3"/>
    </row>
    <row r="13" spans="2:27" ht="13.8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2:27" ht="13.8" x14ac:dyDescent="0.25">
      <c r="B14" s="43" t="s">
        <v>29</v>
      </c>
      <c r="C14" s="41"/>
      <c r="D14" s="41"/>
      <c r="E14" s="41"/>
      <c r="F14" s="41"/>
      <c r="G14" s="41"/>
      <c r="H14" s="4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2"/>
    </row>
    <row r="15" spans="2:27" ht="13.8" x14ac:dyDescent="0.25">
      <c r="B15" s="43" t="s">
        <v>22</v>
      </c>
      <c r="C15" s="41"/>
      <c r="D15" s="41"/>
      <c r="E15" s="41"/>
      <c r="F15" s="41"/>
      <c r="G15" s="41"/>
      <c r="H15" s="41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2"/>
    </row>
    <row r="16" spans="2:27" ht="13.8" x14ac:dyDescent="0.3">
      <c r="B16" s="43" t="s">
        <v>30</v>
      </c>
      <c r="C16" s="41"/>
      <c r="D16" s="41"/>
      <c r="E16" s="41"/>
      <c r="F16" s="41"/>
      <c r="G16" s="41"/>
      <c r="H16" s="41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  <c r="X16" s="45"/>
      <c r="Y16" s="45"/>
      <c r="Z16" s="45"/>
      <c r="AA16" s="2" t="s">
        <v>4</v>
      </c>
    </row>
    <row r="17" spans="2:27" ht="13.8" x14ac:dyDescent="0.3">
      <c r="B17" s="43" t="s">
        <v>5</v>
      </c>
      <c r="C17" s="41"/>
      <c r="D17" s="41"/>
      <c r="E17" s="41"/>
      <c r="F17" s="41"/>
      <c r="G17" s="41"/>
      <c r="H17" s="41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45"/>
      <c r="Y17" s="45"/>
      <c r="Z17" s="45"/>
      <c r="AA17" s="2" t="s">
        <v>4</v>
      </c>
    </row>
    <row r="18" spans="2:27" ht="13.8" x14ac:dyDescent="0.3">
      <c r="B18" s="43" t="s">
        <v>21</v>
      </c>
      <c r="C18" s="41"/>
      <c r="D18" s="41"/>
      <c r="E18" s="41"/>
      <c r="F18" s="41"/>
      <c r="G18" s="41"/>
      <c r="H18" s="41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6"/>
      <c r="X18" s="46"/>
      <c r="Y18" s="46"/>
      <c r="Z18" s="46"/>
      <c r="AA18" s="2"/>
    </row>
    <row r="19" spans="2:27" ht="13.8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2:27" ht="13.8" x14ac:dyDescent="0.3">
      <c r="B20" s="47" t="s">
        <v>31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57"/>
      <c r="X20" s="57"/>
      <c r="Y20" s="57"/>
      <c r="Z20" s="57"/>
      <c r="AA20" s="4" t="s">
        <v>4</v>
      </c>
    </row>
    <row r="21" spans="2:27" ht="13.8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2:27" ht="13.8" x14ac:dyDescent="0.3">
      <c r="B22" s="47" t="s">
        <v>32</v>
      </c>
      <c r="C22" s="48"/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8"/>
      <c r="S22" s="48"/>
      <c r="T22" s="48"/>
      <c r="U22" s="48"/>
      <c r="V22" s="48"/>
      <c r="W22" s="45"/>
      <c r="X22" s="45"/>
      <c r="Y22" s="45"/>
      <c r="Z22" s="45"/>
      <c r="AA22" s="4" t="s">
        <v>4</v>
      </c>
    </row>
    <row r="23" spans="2:27" ht="13.8" x14ac:dyDescent="0.25">
      <c r="B23" s="50" t="s">
        <v>6</v>
      </c>
      <c r="C23" s="51"/>
      <c r="D23" s="52"/>
      <c r="E23" s="41" t="s">
        <v>33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R23" s="55"/>
      <c r="S23" s="56"/>
      <c r="T23" s="56"/>
      <c r="U23" s="56"/>
      <c r="V23" s="5" t="s">
        <v>4</v>
      </c>
      <c r="W23" s="45"/>
      <c r="X23" s="45"/>
      <c r="Y23" s="45"/>
      <c r="Z23" s="45"/>
      <c r="AA23" s="14" t="s">
        <v>7</v>
      </c>
    </row>
    <row r="24" spans="2:27" ht="13.8" x14ac:dyDescent="0.25">
      <c r="B24" s="67"/>
      <c r="C24" s="68"/>
      <c r="D24" s="69"/>
      <c r="E24" s="41" t="s">
        <v>8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58"/>
      <c r="R24" s="59"/>
      <c r="S24" s="60"/>
      <c r="T24" s="60"/>
      <c r="U24" s="60"/>
      <c r="V24" s="2" t="s">
        <v>4</v>
      </c>
      <c r="W24" s="45"/>
      <c r="X24" s="45"/>
      <c r="Y24" s="45"/>
      <c r="Z24" s="45"/>
      <c r="AA24" s="14" t="s">
        <v>7</v>
      </c>
    </row>
    <row r="25" spans="2:27" ht="13.8" x14ac:dyDescent="0.25">
      <c r="B25" s="67"/>
      <c r="C25" s="68"/>
      <c r="D25" s="69"/>
      <c r="E25" s="70" t="s">
        <v>9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2"/>
      <c r="R25" s="59"/>
      <c r="S25" s="60"/>
      <c r="T25" s="60"/>
      <c r="U25" s="60"/>
      <c r="V25" s="2" t="s">
        <v>4</v>
      </c>
      <c r="W25" s="45"/>
      <c r="X25" s="45"/>
      <c r="Y25" s="45"/>
      <c r="Z25" s="45"/>
      <c r="AA25" s="14" t="s">
        <v>7</v>
      </c>
    </row>
    <row r="26" spans="2:27" ht="13.8" x14ac:dyDescent="0.25">
      <c r="B26" s="73"/>
      <c r="C26" s="71"/>
      <c r="D26" s="72"/>
      <c r="E26" s="70" t="s">
        <v>27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  <c r="R26" s="59"/>
      <c r="S26" s="60"/>
      <c r="T26" s="60"/>
      <c r="U26" s="60"/>
      <c r="V26" s="6" t="s">
        <v>4</v>
      </c>
      <c r="W26" s="45"/>
      <c r="X26" s="45"/>
      <c r="Y26" s="45"/>
      <c r="Z26" s="45"/>
      <c r="AA26" s="15" t="s">
        <v>7</v>
      </c>
    </row>
    <row r="27" spans="2:27" ht="13.8" x14ac:dyDescent="0.25">
      <c r="B27" s="24"/>
      <c r="C27" s="24"/>
      <c r="D27" s="2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ht="15.6" x14ac:dyDescent="0.25">
      <c r="B28" s="20" t="s">
        <v>23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2"/>
      <c r="Y28" s="22"/>
      <c r="Z28" s="22"/>
      <c r="AA28" s="23"/>
    </row>
    <row r="29" spans="2:27" ht="13.8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13.8" x14ac:dyDescent="0.3">
      <c r="B30" s="66" t="s">
        <v>10</v>
      </c>
      <c r="C30" s="66"/>
      <c r="D30" s="66"/>
      <c r="E30" s="66" t="s">
        <v>11</v>
      </c>
      <c r="F30" s="66"/>
      <c r="G30" s="66"/>
      <c r="H30" s="66"/>
      <c r="I30" s="66"/>
      <c r="J30" s="66" t="s">
        <v>12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5" t="s">
        <v>13</v>
      </c>
      <c r="X30" s="75"/>
      <c r="Y30" s="75"/>
      <c r="Z30" s="75"/>
      <c r="AA30" s="75"/>
    </row>
    <row r="31" spans="2:27" ht="13.8" x14ac:dyDescent="0.3">
      <c r="B31" s="61">
        <v>1</v>
      </c>
      <c r="C31" s="62"/>
      <c r="D31" s="5"/>
      <c r="E31" s="63"/>
      <c r="F31" s="63"/>
      <c r="G31" s="63"/>
      <c r="H31" s="63"/>
      <c r="I31" s="63"/>
      <c r="J31" s="63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 t="s">
        <v>4</v>
      </c>
      <c r="W31" s="65"/>
      <c r="X31" s="65"/>
      <c r="Y31" s="65"/>
      <c r="Z31" s="65"/>
      <c r="AA31" s="5" t="s">
        <v>4</v>
      </c>
    </row>
    <row r="32" spans="2:27" ht="13.8" x14ac:dyDescent="0.3">
      <c r="B32" s="61">
        <v>2</v>
      </c>
      <c r="C32" s="62"/>
      <c r="D32" s="5"/>
      <c r="E32" s="63"/>
      <c r="F32" s="63"/>
      <c r="G32" s="63"/>
      <c r="H32" s="63"/>
      <c r="I32" s="63"/>
      <c r="J32" s="63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 t="s">
        <v>4</v>
      </c>
      <c r="W32" s="45"/>
      <c r="X32" s="45"/>
      <c r="Y32" s="45"/>
      <c r="Z32" s="45"/>
      <c r="AA32" s="2" t="s">
        <v>4</v>
      </c>
    </row>
    <row r="33" spans="2:27" ht="13.8" x14ac:dyDescent="0.3">
      <c r="B33" s="61">
        <v>3</v>
      </c>
      <c r="C33" s="62"/>
      <c r="D33" s="5"/>
      <c r="E33" s="63"/>
      <c r="F33" s="63"/>
      <c r="G33" s="63"/>
      <c r="H33" s="63"/>
      <c r="I33" s="63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 t="s">
        <v>4</v>
      </c>
      <c r="W33" s="45"/>
      <c r="X33" s="45"/>
      <c r="Y33" s="45"/>
      <c r="Z33" s="45"/>
      <c r="AA33" s="2" t="s">
        <v>4</v>
      </c>
    </row>
    <row r="34" spans="2:27" ht="13.8" x14ac:dyDescent="0.3">
      <c r="B34" s="61">
        <v>4</v>
      </c>
      <c r="C34" s="62"/>
      <c r="D34" s="5"/>
      <c r="E34" s="63"/>
      <c r="F34" s="63"/>
      <c r="G34" s="63"/>
      <c r="H34" s="63"/>
      <c r="I34" s="63"/>
      <c r="J34" s="63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 t="s">
        <v>4</v>
      </c>
      <c r="W34" s="45"/>
      <c r="X34" s="45"/>
      <c r="Y34" s="45"/>
      <c r="Z34" s="45"/>
      <c r="AA34" s="2" t="s">
        <v>4</v>
      </c>
    </row>
    <row r="35" spans="2:27" ht="13.8" x14ac:dyDescent="0.3">
      <c r="B35" s="61">
        <v>5</v>
      </c>
      <c r="C35" s="62"/>
      <c r="D35" s="5"/>
      <c r="E35" s="63"/>
      <c r="F35" s="63"/>
      <c r="G35" s="63"/>
      <c r="H35" s="63"/>
      <c r="I35" s="63"/>
      <c r="J35" s="63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 t="s">
        <v>4</v>
      </c>
      <c r="W35" s="45"/>
      <c r="X35" s="45"/>
      <c r="Y35" s="45"/>
      <c r="Z35" s="45"/>
      <c r="AA35" s="2" t="s">
        <v>4</v>
      </c>
    </row>
    <row r="36" spans="2:27" ht="13.8" x14ac:dyDescent="0.3">
      <c r="B36" s="61">
        <v>6</v>
      </c>
      <c r="C36" s="62"/>
      <c r="D36" s="5"/>
      <c r="E36" s="63"/>
      <c r="F36" s="63"/>
      <c r="G36" s="63"/>
      <c r="H36" s="63"/>
      <c r="I36" s="63"/>
      <c r="J36" s="63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 t="s">
        <v>4</v>
      </c>
      <c r="W36" s="45"/>
      <c r="X36" s="45"/>
      <c r="Y36" s="45"/>
      <c r="Z36" s="45"/>
      <c r="AA36" s="2" t="s">
        <v>4</v>
      </c>
    </row>
    <row r="37" spans="2:27" ht="13.8" x14ac:dyDescent="0.3">
      <c r="B37" s="61">
        <v>7</v>
      </c>
      <c r="C37" s="62"/>
      <c r="D37" s="5"/>
      <c r="E37" s="63"/>
      <c r="F37" s="63"/>
      <c r="G37" s="63"/>
      <c r="H37" s="63"/>
      <c r="I37" s="63"/>
      <c r="J37" s="63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 t="s">
        <v>4</v>
      </c>
      <c r="W37" s="45"/>
      <c r="X37" s="45"/>
      <c r="Y37" s="45"/>
      <c r="Z37" s="45"/>
      <c r="AA37" s="2" t="s">
        <v>4</v>
      </c>
    </row>
    <row r="38" spans="2:27" ht="13.8" x14ac:dyDescent="0.3">
      <c r="B38" s="61">
        <v>8</v>
      </c>
      <c r="C38" s="62"/>
      <c r="D38" s="5"/>
      <c r="E38" s="63"/>
      <c r="F38" s="63"/>
      <c r="G38" s="63"/>
      <c r="H38" s="63"/>
      <c r="I38" s="63"/>
      <c r="J38" s="63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 t="s">
        <v>4</v>
      </c>
      <c r="W38" s="45"/>
      <c r="X38" s="45"/>
      <c r="Y38" s="45"/>
      <c r="Z38" s="45"/>
      <c r="AA38" s="2" t="s">
        <v>4</v>
      </c>
    </row>
    <row r="39" spans="2:27" ht="13.8" x14ac:dyDescent="0.3">
      <c r="B39" s="61">
        <v>9</v>
      </c>
      <c r="C39" s="62"/>
      <c r="D39" s="5"/>
      <c r="E39" s="63"/>
      <c r="F39" s="63"/>
      <c r="G39" s="63"/>
      <c r="H39" s="63"/>
      <c r="I39" s="63"/>
      <c r="J39" s="63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 t="s">
        <v>4</v>
      </c>
      <c r="W39" s="45"/>
      <c r="X39" s="45"/>
      <c r="Y39" s="45"/>
      <c r="Z39" s="45"/>
      <c r="AA39" s="2" t="s">
        <v>4</v>
      </c>
    </row>
    <row r="40" spans="2:27" ht="13.8" x14ac:dyDescent="0.3">
      <c r="B40" s="61">
        <v>10</v>
      </c>
      <c r="C40" s="62"/>
      <c r="D40" s="2"/>
      <c r="E40" s="63"/>
      <c r="F40" s="63"/>
      <c r="G40" s="63"/>
      <c r="H40" s="63"/>
      <c r="I40" s="63"/>
      <c r="J40" s="63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 t="s">
        <v>4</v>
      </c>
      <c r="W40" s="45"/>
      <c r="X40" s="45"/>
      <c r="Y40" s="45"/>
      <c r="Z40" s="45"/>
      <c r="AA40" s="2" t="s">
        <v>4</v>
      </c>
    </row>
    <row r="41" spans="2:27" ht="13.8" x14ac:dyDescent="0.3">
      <c r="B41" s="61">
        <v>11</v>
      </c>
      <c r="C41" s="62"/>
      <c r="D41" s="2"/>
      <c r="E41" s="63"/>
      <c r="F41" s="63"/>
      <c r="G41" s="63"/>
      <c r="H41" s="63"/>
      <c r="I41" s="63"/>
      <c r="J41" s="63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 t="s">
        <v>4</v>
      </c>
      <c r="W41" s="45"/>
      <c r="X41" s="45"/>
      <c r="Y41" s="45"/>
      <c r="Z41" s="45"/>
      <c r="AA41" s="2" t="s">
        <v>4</v>
      </c>
    </row>
    <row r="42" spans="2:27" ht="13.8" x14ac:dyDescent="0.3">
      <c r="B42" s="61">
        <v>12</v>
      </c>
      <c r="C42" s="62"/>
      <c r="D42" s="2"/>
      <c r="E42" s="63"/>
      <c r="F42" s="63"/>
      <c r="G42" s="63"/>
      <c r="H42" s="63"/>
      <c r="I42" s="63"/>
      <c r="J42" s="63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 t="s">
        <v>4</v>
      </c>
      <c r="W42" s="45"/>
      <c r="X42" s="45"/>
      <c r="Y42" s="45"/>
      <c r="Z42" s="45"/>
      <c r="AA42" s="2" t="s">
        <v>4</v>
      </c>
    </row>
    <row r="43" spans="2:27" ht="13.8" x14ac:dyDescent="0.3">
      <c r="B43" s="61">
        <v>13</v>
      </c>
      <c r="C43" s="62"/>
      <c r="D43" s="5"/>
      <c r="E43" s="63"/>
      <c r="F43" s="63"/>
      <c r="G43" s="63"/>
      <c r="H43" s="63"/>
      <c r="I43" s="63"/>
      <c r="J43" s="63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 t="s">
        <v>4</v>
      </c>
      <c r="W43" s="45"/>
      <c r="X43" s="45"/>
      <c r="Y43" s="45"/>
      <c r="Z43" s="45"/>
      <c r="AA43" s="2" t="s">
        <v>4</v>
      </c>
    </row>
    <row r="44" spans="2:27" ht="13.8" x14ac:dyDescent="0.3">
      <c r="B44" s="61">
        <v>14</v>
      </c>
      <c r="C44" s="62"/>
      <c r="D44" s="5"/>
      <c r="E44" s="63"/>
      <c r="F44" s="63"/>
      <c r="G44" s="63"/>
      <c r="H44" s="63"/>
      <c r="I44" s="63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 t="s">
        <v>4</v>
      </c>
      <c r="W44" s="45"/>
      <c r="X44" s="45"/>
      <c r="Y44" s="45"/>
      <c r="Z44" s="45"/>
      <c r="AA44" s="2" t="s">
        <v>4</v>
      </c>
    </row>
    <row r="45" spans="2:27" ht="13.8" x14ac:dyDescent="0.3">
      <c r="B45" s="61">
        <v>15</v>
      </c>
      <c r="C45" s="62"/>
      <c r="D45" s="5"/>
      <c r="E45" s="63"/>
      <c r="F45" s="63"/>
      <c r="G45" s="63"/>
      <c r="H45" s="63"/>
      <c r="I45" s="63"/>
      <c r="J45" s="63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 t="s">
        <v>4</v>
      </c>
      <c r="W45" s="45"/>
      <c r="X45" s="45"/>
      <c r="Y45" s="45"/>
      <c r="Z45" s="45"/>
      <c r="AA45" s="2" t="s">
        <v>4</v>
      </c>
    </row>
    <row r="46" spans="2:27" ht="13.8" x14ac:dyDescent="0.25">
      <c r="B46" s="47" t="s">
        <v>14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3"/>
      <c r="W46" s="84"/>
      <c r="X46" s="84"/>
      <c r="Y46" s="84"/>
      <c r="Z46" s="84"/>
      <c r="AA46" s="4" t="s">
        <v>4</v>
      </c>
    </row>
    <row r="47" spans="2:27" ht="13.8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x14ac:dyDescent="0.25">
      <c r="B48" s="76" t="s">
        <v>15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2:27" ht="13.8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2:27" ht="18" x14ac:dyDescent="0.25">
      <c r="B50" s="80" t="s">
        <v>34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</row>
    <row r="51" spans="2:27" ht="13.8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2:27" ht="13.8" x14ac:dyDescent="0.25">
      <c r="B52" s="31" t="s">
        <v>35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3"/>
    </row>
    <row r="53" spans="2:27" ht="13.8" x14ac:dyDescent="0.25">
      <c r="B53" s="7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2"/>
    </row>
    <row r="54" spans="2:27" ht="13.8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2:27" ht="13.8" x14ac:dyDescent="0.3">
      <c r="B55" s="31" t="s">
        <v>25</v>
      </c>
      <c r="C55" s="32"/>
      <c r="D55" s="32"/>
      <c r="E55" s="32"/>
      <c r="F55" s="32"/>
      <c r="G55" s="33"/>
      <c r="H55" s="12" t="s">
        <v>17</v>
      </c>
      <c r="I55" s="13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2"/>
    </row>
    <row r="56" spans="2:27" ht="13.8" x14ac:dyDescent="0.3">
      <c r="B56" s="34"/>
      <c r="C56" s="35"/>
      <c r="D56" s="35"/>
      <c r="E56" s="35"/>
      <c r="F56" s="35"/>
      <c r="G56" s="36"/>
      <c r="H56" s="12" t="s">
        <v>3</v>
      </c>
      <c r="I56" s="13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2"/>
    </row>
    <row r="57" spans="2:27" ht="13.8" x14ac:dyDescent="0.3">
      <c r="B57" s="34"/>
      <c r="C57" s="35"/>
      <c r="D57" s="35"/>
      <c r="E57" s="35"/>
      <c r="F57" s="35"/>
      <c r="G57" s="36"/>
      <c r="H57" s="85" t="s">
        <v>36</v>
      </c>
      <c r="I57" s="86"/>
      <c r="J57" s="87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2"/>
    </row>
    <row r="58" spans="2:27" ht="13.8" x14ac:dyDescent="0.3">
      <c r="B58" s="37"/>
      <c r="C58" s="38"/>
      <c r="D58" s="38"/>
      <c r="E58" s="38"/>
      <c r="F58" s="38"/>
      <c r="G58" s="39"/>
      <c r="H58" s="12" t="s">
        <v>18</v>
      </c>
      <c r="I58" s="13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2"/>
    </row>
    <row r="59" spans="2:27" ht="13.8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ht="13.8" x14ac:dyDescent="0.25">
      <c r="B60" s="27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8"/>
      <c r="Q60" s="29" t="s">
        <v>24</v>
      </c>
      <c r="R60" s="29"/>
      <c r="S60" s="29"/>
      <c r="T60" s="29"/>
      <c r="U60" s="29"/>
      <c r="V60" s="29"/>
      <c r="W60" s="29"/>
      <c r="X60" s="29"/>
      <c r="Y60" s="29"/>
      <c r="Z60" s="29"/>
      <c r="AA60" s="30"/>
    </row>
    <row r="61" spans="2:27" ht="13.8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10"/>
      <c r="N61" s="10"/>
      <c r="O61" s="10"/>
      <c r="P61" s="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2:27" ht="13.8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2:27" ht="13.8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2:27" ht="13.8" x14ac:dyDescent="0.25">
      <c r="B64" s="1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2:27" ht="13.8" x14ac:dyDescent="0.25">
      <c r="B65" s="1"/>
      <c r="C65" s="81" t="s">
        <v>19</v>
      </c>
      <c r="D65" s="81"/>
      <c r="E65" s="81"/>
      <c r="F65" s="81"/>
      <c r="G65" s="81"/>
      <c r="H65" s="81"/>
      <c r="I65" s="81"/>
      <c r="J65" s="81"/>
      <c r="K65" s="81"/>
      <c r="L65" s="81"/>
      <c r="M65" s="16"/>
      <c r="N65" s="16"/>
      <c r="O65" s="16"/>
      <c r="P65" s="16"/>
      <c r="Q65" s="81" t="s">
        <v>20</v>
      </c>
      <c r="R65" s="81"/>
      <c r="S65" s="81"/>
      <c r="T65" s="81"/>
      <c r="U65" s="81"/>
      <c r="V65" s="81"/>
      <c r="W65" s="81"/>
      <c r="X65" s="81"/>
      <c r="Y65" s="81"/>
      <c r="Z65" s="81"/>
      <c r="AA65" s="1"/>
    </row>
    <row r="66" spans="2:27" ht="13.8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</sheetData>
  <mergeCells count="140">
    <mergeCell ref="B1:F1"/>
    <mergeCell ref="B49:AA49"/>
    <mergeCell ref="B50:AA50"/>
    <mergeCell ref="M64:AA64"/>
    <mergeCell ref="C65:L65"/>
    <mergeCell ref="M65:P65"/>
    <mergeCell ref="Q65:Z65"/>
    <mergeCell ref="B46:V46"/>
    <mergeCell ref="W46:Z46"/>
    <mergeCell ref="H57:I57"/>
    <mergeCell ref="J57:Z57"/>
    <mergeCell ref="J56:Z56"/>
    <mergeCell ref="B54:AA54"/>
    <mergeCell ref="B52:AA52"/>
    <mergeCell ref="C53:Z53"/>
    <mergeCell ref="J55:Z55"/>
    <mergeCell ref="B51:AA51"/>
    <mergeCell ref="B45:C45"/>
    <mergeCell ref="E45:I45"/>
    <mergeCell ref="J45:V45"/>
    <mergeCell ref="W45:Z45"/>
    <mergeCell ref="B42:C42"/>
    <mergeCell ref="E42:I42"/>
    <mergeCell ref="J42:V42"/>
    <mergeCell ref="B66:AA66"/>
    <mergeCell ref="B48:AA48"/>
    <mergeCell ref="B47:AA47"/>
    <mergeCell ref="J58:Z58"/>
    <mergeCell ref="B59:AA59"/>
    <mergeCell ref="C64:L64"/>
    <mergeCell ref="B43:C43"/>
    <mergeCell ref="E43:I43"/>
    <mergeCell ref="J43:V43"/>
    <mergeCell ref="W43:Z43"/>
    <mergeCell ref="B44:C44"/>
    <mergeCell ref="E44:I44"/>
    <mergeCell ref="J44:V44"/>
    <mergeCell ref="W44:Z44"/>
    <mergeCell ref="W42:Z42"/>
    <mergeCell ref="B41:C41"/>
    <mergeCell ref="E41:I41"/>
    <mergeCell ref="J41:V41"/>
    <mergeCell ref="W41:Z41"/>
    <mergeCell ref="W37:Z37"/>
    <mergeCell ref="B40:C40"/>
    <mergeCell ref="E40:I40"/>
    <mergeCell ref="J40:V40"/>
    <mergeCell ref="W40:Z40"/>
    <mergeCell ref="B39:C39"/>
    <mergeCell ref="E39:I39"/>
    <mergeCell ref="J39:V39"/>
    <mergeCell ref="W39:Z39"/>
    <mergeCell ref="B36:C36"/>
    <mergeCell ref="E36:I36"/>
    <mergeCell ref="J36:V36"/>
    <mergeCell ref="W36:Z36"/>
    <mergeCell ref="B35:C35"/>
    <mergeCell ref="E35:I35"/>
    <mergeCell ref="J35:V35"/>
    <mergeCell ref="W35:Z35"/>
    <mergeCell ref="B38:C38"/>
    <mergeCell ref="E38:I38"/>
    <mergeCell ref="J38:V38"/>
    <mergeCell ref="W38:Z38"/>
    <mergeCell ref="B37:C37"/>
    <mergeCell ref="E37:I37"/>
    <mergeCell ref="J37:V37"/>
    <mergeCell ref="B34:C34"/>
    <mergeCell ref="E34:I34"/>
    <mergeCell ref="J34:V34"/>
    <mergeCell ref="W34:Z34"/>
    <mergeCell ref="W30:AA30"/>
    <mergeCell ref="B33:C33"/>
    <mergeCell ref="E33:I33"/>
    <mergeCell ref="J33:V33"/>
    <mergeCell ref="W33:Z33"/>
    <mergeCell ref="B32:C32"/>
    <mergeCell ref="E32:I32"/>
    <mergeCell ref="J32:V32"/>
    <mergeCell ref="W32:Z32"/>
    <mergeCell ref="E24:Q24"/>
    <mergeCell ref="R24:U24"/>
    <mergeCell ref="B27:AA27"/>
    <mergeCell ref="B28:AA28"/>
    <mergeCell ref="B31:C31"/>
    <mergeCell ref="E31:I31"/>
    <mergeCell ref="J31:V31"/>
    <mergeCell ref="W31:Z31"/>
    <mergeCell ref="B29:AA29"/>
    <mergeCell ref="B30:D30"/>
    <mergeCell ref="W24:Z24"/>
    <mergeCell ref="W26:Z26"/>
    <mergeCell ref="B25:D25"/>
    <mergeCell ref="E25:Q25"/>
    <mergeCell ref="R25:U25"/>
    <mergeCell ref="W25:Z25"/>
    <mergeCell ref="B26:D26"/>
    <mergeCell ref="E26:Q26"/>
    <mergeCell ref="R26:U26"/>
    <mergeCell ref="B24:D24"/>
    <mergeCell ref="E30:I30"/>
    <mergeCell ref="J30:V30"/>
    <mergeCell ref="B14:H14"/>
    <mergeCell ref="I14:Z14"/>
    <mergeCell ref="B15:H15"/>
    <mergeCell ref="I15:Z15"/>
    <mergeCell ref="B22:V22"/>
    <mergeCell ref="W22:Z22"/>
    <mergeCell ref="B23:D23"/>
    <mergeCell ref="E23:Q23"/>
    <mergeCell ref="R23:U23"/>
    <mergeCell ref="W23:Z23"/>
    <mergeCell ref="B19:AA19"/>
    <mergeCell ref="B20:V20"/>
    <mergeCell ref="W20:Z20"/>
    <mergeCell ref="B21:AA21"/>
    <mergeCell ref="B3:AA3"/>
    <mergeCell ref="B4:AA4"/>
    <mergeCell ref="B5:AA5"/>
    <mergeCell ref="B6:AA6"/>
    <mergeCell ref="B7:AA7"/>
    <mergeCell ref="B8:AA8"/>
    <mergeCell ref="B9:AA9"/>
    <mergeCell ref="B10:E10"/>
    <mergeCell ref="B60:O60"/>
    <mergeCell ref="Q60:AA60"/>
    <mergeCell ref="B55:G55"/>
    <mergeCell ref="B56:G58"/>
    <mergeCell ref="B11:AA11"/>
    <mergeCell ref="F10:H10"/>
    <mergeCell ref="I10:Z10"/>
    <mergeCell ref="B12:H12"/>
    <mergeCell ref="B17:V17"/>
    <mergeCell ref="W17:Z17"/>
    <mergeCell ref="B18:V18"/>
    <mergeCell ref="W18:Z18"/>
    <mergeCell ref="I12:Z12"/>
    <mergeCell ref="B16:V16"/>
    <mergeCell ref="W16:Z16"/>
    <mergeCell ref="B13:AA1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89" orientation="portrait" verticalDpi="300" r:id="rId1"/>
  <headerFooter alignWithMargins="0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V8"/>
  <sheetViews>
    <sheetView workbookViewId="0"/>
  </sheetViews>
  <sheetFormatPr defaultRowHeight="13.2" x14ac:dyDescent="0.25"/>
  <sheetData>
    <row r="1" spans="1:256" x14ac:dyDescent="0.25">
      <c r="A1">
        <f>IF(List1!3:3,"AAAAAE3qXwA=",0)</f>
        <v>0</v>
      </c>
      <c r="B1" t="e">
        <f>AND(List1!B3,"AAAAAE3qXwE=")</f>
        <v>#VALUE!</v>
      </c>
      <c r="C1" t="e">
        <f>AND(List1!C3,"AAAAAE3qXwI=")</f>
        <v>#VALUE!</v>
      </c>
      <c r="D1" t="e">
        <f>AND(List1!D3,"AAAAAE3qXwM=")</f>
        <v>#VALUE!</v>
      </c>
      <c r="E1" t="e">
        <f>AND(List1!E3,"AAAAAE3qXwQ=")</f>
        <v>#VALUE!</v>
      </c>
      <c r="F1" t="e">
        <f>AND(List1!F3,"AAAAAE3qXwU=")</f>
        <v>#VALUE!</v>
      </c>
      <c r="G1" t="e">
        <f>AND(List1!G3,"AAAAAE3qXwY=")</f>
        <v>#VALUE!</v>
      </c>
      <c r="H1" t="e">
        <f>AND(List1!H3,"AAAAAE3qXwc=")</f>
        <v>#VALUE!</v>
      </c>
      <c r="I1" t="e">
        <f>AND(List1!I3,"AAAAAE3qXwg=")</f>
        <v>#VALUE!</v>
      </c>
      <c r="J1" t="e">
        <f>AND(List1!J3,"AAAAAE3qXwk=")</f>
        <v>#VALUE!</v>
      </c>
      <c r="K1" t="e">
        <f>AND(List1!K3,"AAAAAE3qXwo=")</f>
        <v>#VALUE!</v>
      </c>
      <c r="L1" t="e">
        <f>AND(List1!L3,"AAAAAE3qXws=")</f>
        <v>#VALUE!</v>
      </c>
      <c r="M1" t="e">
        <f>AND(List1!M3,"AAAAAE3qXww=")</f>
        <v>#VALUE!</v>
      </c>
      <c r="N1" t="e">
        <f>AND(List1!N3,"AAAAAE3qXw0=")</f>
        <v>#VALUE!</v>
      </c>
      <c r="O1" t="e">
        <f>AND(List1!O3,"AAAAAE3qXw4=")</f>
        <v>#VALUE!</v>
      </c>
      <c r="P1" t="e">
        <f>AND(List1!P3,"AAAAAE3qXw8=")</f>
        <v>#VALUE!</v>
      </c>
      <c r="Q1" t="e">
        <f>AND(List1!Q3,"AAAAAE3qXxA=")</f>
        <v>#VALUE!</v>
      </c>
      <c r="R1" t="e">
        <f>AND(List1!R3,"AAAAAE3qXxE=")</f>
        <v>#VALUE!</v>
      </c>
      <c r="S1" t="e">
        <f>AND(List1!S3,"AAAAAE3qXxI=")</f>
        <v>#VALUE!</v>
      </c>
      <c r="T1" t="e">
        <f>AND(List1!T3,"AAAAAE3qXxM=")</f>
        <v>#VALUE!</v>
      </c>
      <c r="U1" t="e">
        <f>AND(List1!U3,"AAAAAE3qXxQ=")</f>
        <v>#VALUE!</v>
      </c>
      <c r="V1" t="e">
        <f>AND(List1!V3,"AAAAAE3qXxU=")</f>
        <v>#VALUE!</v>
      </c>
      <c r="W1" t="e">
        <f>AND(List1!W3,"AAAAAE3qXxY=")</f>
        <v>#VALUE!</v>
      </c>
      <c r="X1" t="e">
        <f>AND(List1!X3,"AAAAAE3qXxc=")</f>
        <v>#VALUE!</v>
      </c>
      <c r="Y1" t="e">
        <f>AND(List1!Y3,"AAAAAE3qXxg=")</f>
        <v>#VALUE!</v>
      </c>
      <c r="Z1" t="e">
        <f>AND(List1!Z3,"AAAAAE3qXxk=")</f>
        <v>#VALUE!</v>
      </c>
      <c r="AA1" t="e">
        <f>AND(List1!AA3,"AAAAAE3qXxo=")</f>
        <v>#VALUE!</v>
      </c>
      <c r="AB1" t="e">
        <f>AND(List1!AB3,"AAAAAE3qXxs=")</f>
        <v>#VALUE!</v>
      </c>
      <c r="AC1">
        <f>IF(List1!4:4,"AAAAAE3qXxw=",0)</f>
        <v>0</v>
      </c>
      <c r="AD1" t="e">
        <f>AND(List1!B4,"AAAAAE3qXx0=")</f>
        <v>#VALUE!</v>
      </c>
      <c r="AE1" t="e">
        <f>AND(List1!C4,"AAAAAE3qXx4=")</f>
        <v>#VALUE!</v>
      </c>
      <c r="AF1" t="e">
        <f>AND(List1!D4,"AAAAAE3qXx8=")</f>
        <v>#VALUE!</v>
      </c>
      <c r="AG1" t="e">
        <f>AND(List1!E4,"AAAAAE3qXyA=")</f>
        <v>#VALUE!</v>
      </c>
      <c r="AH1" t="e">
        <f>AND(List1!F4,"AAAAAE3qXyE=")</f>
        <v>#VALUE!</v>
      </c>
      <c r="AI1" t="e">
        <f>AND(List1!G4,"AAAAAE3qXyI=")</f>
        <v>#VALUE!</v>
      </c>
      <c r="AJ1" t="e">
        <f>AND(List1!H4,"AAAAAE3qXyM=")</f>
        <v>#VALUE!</v>
      </c>
      <c r="AK1" t="e">
        <f>AND(List1!I4,"AAAAAE3qXyQ=")</f>
        <v>#VALUE!</v>
      </c>
      <c r="AL1" t="e">
        <f>AND(List1!J4,"AAAAAE3qXyU=")</f>
        <v>#VALUE!</v>
      </c>
      <c r="AM1" t="e">
        <f>AND(List1!K4,"AAAAAE3qXyY=")</f>
        <v>#VALUE!</v>
      </c>
      <c r="AN1" t="e">
        <f>AND(List1!L4,"AAAAAE3qXyc=")</f>
        <v>#VALUE!</v>
      </c>
      <c r="AO1" t="e">
        <f>AND(List1!M4,"AAAAAE3qXyg=")</f>
        <v>#VALUE!</v>
      </c>
      <c r="AP1" t="e">
        <f>AND(List1!N4,"AAAAAE3qXyk=")</f>
        <v>#VALUE!</v>
      </c>
      <c r="AQ1" t="e">
        <f>AND(List1!O4,"AAAAAE3qXyo=")</f>
        <v>#VALUE!</v>
      </c>
      <c r="AR1" t="e">
        <f>AND(List1!P4,"AAAAAE3qXys=")</f>
        <v>#VALUE!</v>
      </c>
      <c r="AS1" t="e">
        <f>AND(List1!Q4,"AAAAAE3qXyw=")</f>
        <v>#VALUE!</v>
      </c>
      <c r="AT1" t="e">
        <f>AND(List1!R4,"AAAAAE3qXy0=")</f>
        <v>#VALUE!</v>
      </c>
      <c r="AU1" t="e">
        <f>AND(List1!S4,"AAAAAE3qXy4=")</f>
        <v>#VALUE!</v>
      </c>
      <c r="AV1" t="e">
        <f>AND(List1!T4,"AAAAAE3qXy8=")</f>
        <v>#VALUE!</v>
      </c>
      <c r="AW1" t="e">
        <f>AND(List1!U4,"AAAAAE3qXzA=")</f>
        <v>#VALUE!</v>
      </c>
      <c r="AX1" t="e">
        <f>AND(List1!V4,"AAAAAE3qXzE=")</f>
        <v>#VALUE!</v>
      </c>
      <c r="AY1" t="e">
        <f>AND(List1!W4,"AAAAAE3qXzI=")</f>
        <v>#VALUE!</v>
      </c>
      <c r="AZ1" t="e">
        <f>AND(List1!X4,"AAAAAE3qXzM=")</f>
        <v>#VALUE!</v>
      </c>
      <c r="BA1" t="e">
        <f>AND(List1!Y4,"AAAAAE3qXzQ=")</f>
        <v>#VALUE!</v>
      </c>
      <c r="BB1" t="e">
        <f>AND(List1!Z4,"AAAAAE3qXzU=")</f>
        <v>#VALUE!</v>
      </c>
      <c r="BC1" t="e">
        <f>AND(List1!AA4,"AAAAAE3qXzY=")</f>
        <v>#VALUE!</v>
      </c>
      <c r="BD1" t="e">
        <f>AND(List1!AB4,"AAAAAE3qXzc=")</f>
        <v>#VALUE!</v>
      </c>
      <c r="BE1">
        <f>IF(List1!5:5,"AAAAAE3qXzg=",0)</f>
        <v>0</v>
      </c>
      <c r="BF1" t="e">
        <f>AND(List1!B5,"AAAAAE3qXzk=")</f>
        <v>#VALUE!</v>
      </c>
      <c r="BG1" t="e">
        <f>AND(List1!C5,"AAAAAE3qXzo=")</f>
        <v>#VALUE!</v>
      </c>
      <c r="BH1" t="e">
        <f>AND(List1!D5,"AAAAAE3qXzs=")</f>
        <v>#VALUE!</v>
      </c>
      <c r="BI1" t="e">
        <f>AND(List1!E5,"AAAAAE3qXzw=")</f>
        <v>#VALUE!</v>
      </c>
      <c r="BJ1" t="e">
        <f>AND(List1!F5,"AAAAAE3qXz0=")</f>
        <v>#VALUE!</v>
      </c>
      <c r="BK1" t="e">
        <f>AND(List1!G5,"AAAAAE3qXz4=")</f>
        <v>#VALUE!</v>
      </c>
      <c r="BL1" t="e">
        <f>AND(List1!H5,"AAAAAE3qXz8=")</f>
        <v>#VALUE!</v>
      </c>
      <c r="BM1" t="e">
        <f>AND(List1!I5,"AAAAAE3qX0A=")</f>
        <v>#VALUE!</v>
      </c>
      <c r="BN1" t="e">
        <f>AND(List1!J5,"AAAAAE3qX0E=")</f>
        <v>#VALUE!</v>
      </c>
      <c r="BO1" t="e">
        <f>AND(List1!K5,"AAAAAE3qX0I=")</f>
        <v>#VALUE!</v>
      </c>
      <c r="BP1" t="e">
        <f>AND(List1!L5,"AAAAAE3qX0M=")</f>
        <v>#VALUE!</v>
      </c>
      <c r="BQ1" t="e">
        <f>AND(List1!M5,"AAAAAE3qX0Q=")</f>
        <v>#VALUE!</v>
      </c>
      <c r="BR1" t="e">
        <f>AND(List1!N5,"AAAAAE3qX0U=")</f>
        <v>#VALUE!</v>
      </c>
      <c r="BS1" t="e">
        <f>AND(List1!O5,"AAAAAE3qX0Y=")</f>
        <v>#VALUE!</v>
      </c>
      <c r="BT1" t="e">
        <f>AND(List1!P5,"AAAAAE3qX0c=")</f>
        <v>#VALUE!</v>
      </c>
      <c r="BU1" t="e">
        <f>AND(List1!Q5,"AAAAAE3qX0g=")</f>
        <v>#VALUE!</v>
      </c>
      <c r="BV1" t="e">
        <f>AND(List1!R5,"AAAAAE3qX0k=")</f>
        <v>#VALUE!</v>
      </c>
      <c r="BW1" t="e">
        <f>AND(List1!S5,"AAAAAE3qX0o=")</f>
        <v>#VALUE!</v>
      </c>
      <c r="BX1" t="e">
        <f>AND(List1!T5,"AAAAAE3qX0s=")</f>
        <v>#VALUE!</v>
      </c>
      <c r="BY1" t="e">
        <f>AND(List1!U5,"AAAAAE3qX0w=")</f>
        <v>#VALUE!</v>
      </c>
      <c r="BZ1" t="e">
        <f>AND(List1!V5,"AAAAAE3qX00=")</f>
        <v>#VALUE!</v>
      </c>
      <c r="CA1" t="e">
        <f>AND(List1!W5,"AAAAAE3qX04=")</f>
        <v>#VALUE!</v>
      </c>
      <c r="CB1" t="e">
        <f>AND(List1!X5,"AAAAAE3qX08=")</f>
        <v>#VALUE!</v>
      </c>
      <c r="CC1" t="e">
        <f>AND(List1!Y5,"AAAAAE3qX1A=")</f>
        <v>#VALUE!</v>
      </c>
      <c r="CD1" t="e">
        <f>AND(List1!Z5,"AAAAAE3qX1E=")</f>
        <v>#VALUE!</v>
      </c>
      <c r="CE1" t="e">
        <f>AND(List1!AA5,"AAAAAE3qX1I=")</f>
        <v>#VALUE!</v>
      </c>
      <c r="CF1" t="e">
        <f>AND(List1!AB5,"AAAAAE3qX1M=")</f>
        <v>#VALUE!</v>
      </c>
      <c r="CG1">
        <f>IF(List1!6:6,"AAAAAE3qX1Q=",0)</f>
        <v>0</v>
      </c>
      <c r="CH1" t="e">
        <f>AND(List1!B6,"AAAAAE3qX1U=")</f>
        <v>#VALUE!</v>
      </c>
      <c r="CI1" t="e">
        <f>AND(List1!C6,"AAAAAE3qX1Y=")</f>
        <v>#VALUE!</v>
      </c>
      <c r="CJ1" t="e">
        <f>AND(List1!D6,"AAAAAE3qX1c=")</f>
        <v>#VALUE!</v>
      </c>
      <c r="CK1" t="e">
        <f>AND(List1!E6,"AAAAAE3qX1g=")</f>
        <v>#VALUE!</v>
      </c>
      <c r="CL1" t="e">
        <f>AND(List1!F6,"AAAAAE3qX1k=")</f>
        <v>#VALUE!</v>
      </c>
      <c r="CM1" t="e">
        <f>AND(List1!G6,"AAAAAE3qX1o=")</f>
        <v>#VALUE!</v>
      </c>
      <c r="CN1" t="e">
        <f>AND(List1!H6,"AAAAAE3qX1s=")</f>
        <v>#VALUE!</v>
      </c>
      <c r="CO1" t="e">
        <f>AND(List1!I6,"AAAAAE3qX1w=")</f>
        <v>#VALUE!</v>
      </c>
      <c r="CP1" t="e">
        <f>AND(List1!J6,"AAAAAE3qX10=")</f>
        <v>#VALUE!</v>
      </c>
      <c r="CQ1" t="e">
        <f>AND(List1!K6,"AAAAAE3qX14=")</f>
        <v>#VALUE!</v>
      </c>
      <c r="CR1" t="e">
        <f>AND(List1!L6,"AAAAAE3qX18=")</f>
        <v>#VALUE!</v>
      </c>
      <c r="CS1" t="e">
        <f>AND(List1!M6,"AAAAAE3qX2A=")</f>
        <v>#VALUE!</v>
      </c>
      <c r="CT1" t="e">
        <f>AND(List1!N6,"AAAAAE3qX2E=")</f>
        <v>#VALUE!</v>
      </c>
      <c r="CU1" t="e">
        <f>AND(List1!O6,"AAAAAE3qX2I=")</f>
        <v>#VALUE!</v>
      </c>
      <c r="CV1" t="e">
        <f>AND(List1!P6,"AAAAAE3qX2M=")</f>
        <v>#VALUE!</v>
      </c>
      <c r="CW1" t="e">
        <f>AND(List1!Q6,"AAAAAE3qX2Q=")</f>
        <v>#VALUE!</v>
      </c>
      <c r="CX1" t="e">
        <f>AND(List1!R6,"AAAAAE3qX2U=")</f>
        <v>#VALUE!</v>
      </c>
      <c r="CY1" t="e">
        <f>AND(List1!S6,"AAAAAE3qX2Y=")</f>
        <v>#VALUE!</v>
      </c>
      <c r="CZ1" t="e">
        <f>AND(List1!T6,"AAAAAE3qX2c=")</f>
        <v>#VALUE!</v>
      </c>
      <c r="DA1" t="e">
        <f>AND(List1!U6,"AAAAAE3qX2g=")</f>
        <v>#VALUE!</v>
      </c>
      <c r="DB1" t="e">
        <f>AND(List1!V6,"AAAAAE3qX2k=")</f>
        <v>#VALUE!</v>
      </c>
      <c r="DC1" t="e">
        <f>AND(List1!W6,"AAAAAE3qX2o=")</f>
        <v>#VALUE!</v>
      </c>
      <c r="DD1" t="e">
        <f>AND(List1!X6,"AAAAAE3qX2s=")</f>
        <v>#VALUE!</v>
      </c>
      <c r="DE1" t="e">
        <f>AND(List1!Y6,"AAAAAE3qX2w=")</f>
        <v>#VALUE!</v>
      </c>
      <c r="DF1" t="e">
        <f>AND(List1!Z6,"AAAAAE3qX20=")</f>
        <v>#VALUE!</v>
      </c>
      <c r="DG1" t="e">
        <f>AND(List1!AA6,"AAAAAE3qX24=")</f>
        <v>#VALUE!</v>
      </c>
      <c r="DH1" t="e">
        <f>AND(List1!AB6,"AAAAAE3qX28=")</f>
        <v>#VALUE!</v>
      </c>
      <c r="DI1">
        <f>IF(List1!7:7,"AAAAAE3qX3A=",0)</f>
        <v>0</v>
      </c>
      <c r="DJ1" t="e">
        <f>AND(List1!B7,"AAAAAE3qX3E=")</f>
        <v>#VALUE!</v>
      </c>
      <c r="DK1" t="e">
        <f>AND(List1!C7,"AAAAAE3qX3I=")</f>
        <v>#VALUE!</v>
      </c>
      <c r="DL1" t="e">
        <f>AND(List1!D7,"AAAAAE3qX3M=")</f>
        <v>#VALUE!</v>
      </c>
      <c r="DM1" t="e">
        <f>AND(List1!E7,"AAAAAE3qX3Q=")</f>
        <v>#VALUE!</v>
      </c>
      <c r="DN1" t="e">
        <f>AND(List1!F7,"AAAAAE3qX3U=")</f>
        <v>#VALUE!</v>
      </c>
      <c r="DO1" t="e">
        <f>AND(List1!G7,"AAAAAE3qX3Y=")</f>
        <v>#VALUE!</v>
      </c>
      <c r="DP1" t="e">
        <f>AND(List1!H7,"AAAAAE3qX3c=")</f>
        <v>#VALUE!</v>
      </c>
      <c r="DQ1" t="e">
        <f>AND(List1!I7,"AAAAAE3qX3g=")</f>
        <v>#VALUE!</v>
      </c>
      <c r="DR1" t="e">
        <f>AND(List1!J7,"AAAAAE3qX3k=")</f>
        <v>#VALUE!</v>
      </c>
      <c r="DS1" t="e">
        <f>AND(List1!K7,"AAAAAE3qX3o=")</f>
        <v>#VALUE!</v>
      </c>
      <c r="DT1" t="e">
        <f>AND(List1!L7,"AAAAAE3qX3s=")</f>
        <v>#VALUE!</v>
      </c>
      <c r="DU1" t="e">
        <f>AND(List1!M7,"AAAAAE3qX3w=")</f>
        <v>#VALUE!</v>
      </c>
      <c r="DV1" t="e">
        <f>AND(List1!N7,"AAAAAE3qX30=")</f>
        <v>#VALUE!</v>
      </c>
      <c r="DW1" t="e">
        <f>AND(List1!O7,"AAAAAE3qX34=")</f>
        <v>#VALUE!</v>
      </c>
      <c r="DX1" t="e">
        <f>AND(List1!P7,"AAAAAE3qX38=")</f>
        <v>#VALUE!</v>
      </c>
      <c r="DY1" t="e">
        <f>AND(List1!Q7,"AAAAAE3qX4A=")</f>
        <v>#VALUE!</v>
      </c>
      <c r="DZ1" t="e">
        <f>AND(List1!R7,"AAAAAE3qX4E=")</f>
        <v>#VALUE!</v>
      </c>
      <c r="EA1" t="e">
        <f>AND(List1!S7,"AAAAAE3qX4I=")</f>
        <v>#VALUE!</v>
      </c>
      <c r="EB1" t="e">
        <f>AND(List1!T7,"AAAAAE3qX4M=")</f>
        <v>#VALUE!</v>
      </c>
      <c r="EC1" t="e">
        <f>AND(List1!U7,"AAAAAE3qX4Q=")</f>
        <v>#VALUE!</v>
      </c>
      <c r="ED1" t="e">
        <f>AND(List1!V7,"AAAAAE3qX4U=")</f>
        <v>#VALUE!</v>
      </c>
      <c r="EE1" t="e">
        <f>AND(List1!W7,"AAAAAE3qX4Y=")</f>
        <v>#VALUE!</v>
      </c>
      <c r="EF1" t="e">
        <f>AND(List1!X7,"AAAAAE3qX4c=")</f>
        <v>#VALUE!</v>
      </c>
      <c r="EG1" t="e">
        <f>AND(List1!Y7,"AAAAAE3qX4g=")</f>
        <v>#VALUE!</v>
      </c>
      <c r="EH1" t="e">
        <f>AND(List1!Z7,"AAAAAE3qX4k=")</f>
        <v>#VALUE!</v>
      </c>
      <c r="EI1" t="e">
        <f>AND(List1!AA7,"AAAAAE3qX4o=")</f>
        <v>#VALUE!</v>
      </c>
      <c r="EJ1" t="e">
        <f>AND(List1!AB7,"AAAAAE3qX4s=")</f>
        <v>#VALUE!</v>
      </c>
      <c r="EK1">
        <f>IF(List1!8:8,"AAAAAE3qX4w=",0)</f>
        <v>0</v>
      </c>
      <c r="EL1" t="e">
        <f>AND(List1!B8,"AAAAAE3qX40=")</f>
        <v>#VALUE!</v>
      </c>
      <c r="EM1" t="e">
        <f>AND(List1!C8,"AAAAAE3qX44=")</f>
        <v>#VALUE!</v>
      </c>
      <c r="EN1" t="e">
        <f>AND(List1!D8,"AAAAAE3qX48=")</f>
        <v>#VALUE!</v>
      </c>
      <c r="EO1" t="e">
        <f>AND(List1!E8,"AAAAAE3qX5A=")</f>
        <v>#VALUE!</v>
      </c>
      <c r="EP1" t="e">
        <f>AND(List1!F8,"AAAAAE3qX5E=")</f>
        <v>#VALUE!</v>
      </c>
      <c r="EQ1" t="e">
        <f>AND(List1!G8,"AAAAAE3qX5I=")</f>
        <v>#VALUE!</v>
      </c>
      <c r="ER1" t="e">
        <f>AND(List1!H8,"AAAAAE3qX5M=")</f>
        <v>#VALUE!</v>
      </c>
      <c r="ES1" t="e">
        <f>AND(List1!I8,"AAAAAE3qX5Q=")</f>
        <v>#VALUE!</v>
      </c>
      <c r="ET1" t="e">
        <f>AND(List1!J8,"AAAAAE3qX5U=")</f>
        <v>#VALUE!</v>
      </c>
      <c r="EU1" t="e">
        <f>AND(List1!K8,"AAAAAE3qX5Y=")</f>
        <v>#VALUE!</v>
      </c>
      <c r="EV1" t="e">
        <f>AND(List1!L8,"AAAAAE3qX5c=")</f>
        <v>#VALUE!</v>
      </c>
      <c r="EW1" t="e">
        <f>AND(List1!M8,"AAAAAE3qX5g=")</f>
        <v>#VALUE!</v>
      </c>
      <c r="EX1" t="e">
        <f>AND(List1!N8,"AAAAAE3qX5k=")</f>
        <v>#VALUE!</v>
      </c>
      <c r="EY1" t="e">
        <f>AND(List1!O8,"AAAAAE3qX5o=")</f>
        <v>#VALUE!</v>
      </c>
      <c r="EZ1" t="e">
        <f>AND(List1!P8,"AAAAAE3qX5s=")</f>
        <v>#VALUE!</v>
      </c>
      <c r="FA1" t="e">
        <f>AND(List1!Q8,"AAAAAE3qX5w=")</f>
        <v>#VALUE!</v>
      </c>
      <c r="FB1" t="e">
        <f>AND(List1!R8,"AAAAAE3qX50=")</f>
        <v>#VALUE!</v>
      </c>
      <c r="FC1" t="e">
        <f>AND(List1!S8,"AAAAAE3qX54=")</f>
        <v>#VALUE!</v>
      </c>
      <c r="FD1" t="e">
        <f>AND(List1!T8,"AAAAAE3qX58=")</f>
        <v>#VALUE!</v>
      </c>
      <c r="FE1" t="e">
        <f>AND(List1!U8,"AAAAAE3qX6A=")</f>
        <v>#VALUE!</v>
      </c>
      <c r="FF1" t="e">
        <f>AND(List1!V8,"AAAAAE3qX6E=")</f>
        <v>#VALUE!</v>
      </c>
      <c r="FG1" t="e">
        <f>AND(List1!W8,"AAAAAE3qX6I=")</f>
        <v>#VALUE!</v>
      </c>
      <c r="FH1" t="e">
        <f>AND(List1!X8,"AAAAAE3qX6M=")</f>
        <v>#VALUE!</v>
      </c>
      <c r="FI1" t="e">
        <f>AND(List1!Y8,"AAAAAE3qX6Q=")</f>
        <v>#VALUE!</v>
      </c>
      <c r="FJ1" t="e">
        <f>AND(List1!Z8,"AAAAAE3qX6U=")</f>
        <v>#VALUE!</v>
      </c>
      <c r="FK1" t="e">
        <f>AND(List1!AA8,"AAAAAE3qX6Y=")</f>
        <v>#VALUE!</v>
      </c>
      <c r="FL1" t="e">
        <f>AND(List1!AB8,"AAAAAE3qX6c=")</f>
        <v>#VALUE!</v>
      </c>
      <c r="FM1">
        <f>IF(List1!9:9,"AAAAAE3qX6g=",0)</f>
        <v>0</v>
      </c>
      <c r="FN1" t="e">
        <f>AND(List1!B9,"AAAAAE3qX6k=")</f>
        <v>#VALUE!</v>
      </c>
      <c r="FO1" t="e">
        <f>AND(List1!C9,"AAAAAE3qX6o=")</f>
        <v>#VALUE!</v>
      </c>
      <c r="FP1" t="e">
        <f>AND(List1!D9,"AAAAAE3qX6s=")</f>
        <v>#VALUE!</v>
      </c>
      <c r="FQ1" t="e">
        <f>AND(List1!E9,"AAAAAE3qX6w=")</f>
        <v>#VALUE!</v>
      </c>
      <c r="FR1" t="e">
        <f>AND(List1!F9,"AAAAAE3qX60=")</f>
        <v>#VALUE!</v>
      </c>
      <c r="FS1" t="e">
        <f>AND(List1!G9,"AAAAAE3qX64=")</f>
        <v>#VALUE!</v>
      </c>
      <c r="FT1" t="e">
        <f>AND(List1!H9,"AAAAAE3qX68=")</f>
        <v>#VALUE!</v>
      </c>
      <c r="FU1" t="e">
        <f>AND(List1!I9,"AAAAAE3qX7A=")</f>
        <v>#VALUE!</v>
      </c>
      <c r="FV1" t="e">
        <f>AND(List1!J9,"AAAAAE3qX7E=")</f>
        <v>#VALUE!</v>
      </c>
      <c r="FW1" t="e">
        <f>AND(List1!K9,"AAAAAE3qX7I=")</f>
        <v>#VALUE!</v>
      </c>
      <c r="FX1" t="e">
        <f>AND(List1!L9,"AAAAAE3qX7M=")</f>
        <v>#VALUE!</v>
      </c>
      <c r="FY1" t="e">
        <f>AND(List1!M9,"AAAAAE3qX7Q=")</f>
        <v>#VALUE!</v>
      </c>
      <c r="FZ1" t="e">
        <f>AND(List1!N9,"AAAAAE3qX7U=")</f>
        <v>#VALUE!</v>
      </c>
      <c r="GA1" t="e">
        <f>AND(List1!O9,"AAAAAE3qX7Y=")</f>
        <v>#VALUE!</v>
      </c>
      <c r="GB1" t="e">
        <f>AND(List1!P9,"AAAAAE3qX7c=")</f>
        <v>#VALUE!</v>
      </c>
      <c r="GC1" t="e">
        <f>AND(List1!Q9,"AAAAAE3qX7g=")</f>
        <v>#VALUE!</v>
      </c>
      <c r="GD1" t="e">
        <f>AND(List1!R9,"AAAAAE3qX7k=")</f>
        <v>#VALUE!</v>
      </c>
      <c r="GE1" t="e">
        <f>AND(List1!S9,"AAAAAE3qX7o=")</f>
        <v>#VALUE!</v>
      </c>
      <c r="GF1" t="e">
        <f>AND(List1!T9,"AAAAAE3qX7s=")</f>
        <v>#VALUE!</v>
      </c>
      <c r="GG1" t="e">
        <f>AND(List1!U9,"AAAAAE3qX7w=")</f>
        <v>#VALUE!</v>
      </c>
      <c r="GH1" t="e">
        <f>AND(List1!V9,"AAAAAE3qX70=")</f>
        <v>#VALUE!</v>
      </c>
      <c r="GI1" t="e">
        <f>AND(List1!W9,"AAAAAE3qX74=")</f>
        <v>#VALUE!</v>
      </c>
      <c r="GJ1" t="e">
        <f>AND(List1!X9,"AAAAAE3qX78=")</f>
        <v>#VALUE!</v>
      </c>
      <c r="GK1" t="e">
        <f>AND(List1!Y9,"AAAAAE3qX8A=")</f>
        <v>#VALUE!</v>
      </c>
      <c r="GL1" t="e">
        <f>AND(List1!Z9,"AAAAAE3qX8E=")</f>
        <v>#VALUE!</v>
      </c>
      <c r="GM1" t="e">
        <f>AND(List1!AA9,"AAAAAE3qX8I=")</f>
        <v>#VALUE!</v>
      </c>
      <c r="GN1" t="e">
        <f>AND(List1!AB9,"AAAAAE3qX8M=")</f>
        <v>#VALUE!</v>
      </c>
      <c r="GO1">
        <f>IF(List1!10:10,"AAAAAE3qX8Q=",0)</f>
        <v>0</v>
      </c>
      <c r="GP1" t="e">
        <f>AND(List1!B10,"AAAAAE3qX8U=")</f>
        <v>#VALUE!</v>
      </c>
      <c r="GQ1" t="e">
        <f>AND(List1!C10,"AAAAAE3qX8Y=")</f>
        <v>#VALUE!</v>
      </c>
      <c r="GR1" t="e">
        <f>AND(List1!D10,"AAAAAE3qX8c=")</f>
        <v>#VALUE!</v>
      </c>
      <c r="GS1" t="e">
        <f>AND(List1!E10,"AAAAAE3qX8g=")</f>
        <v>#VALUE!</v>
      </c>
      <c r="GT1" t="e">
        <f>AND(List1!F10,"AAAAAE3qX8k=")</f>
        <v>#VALUE!</v>
      </c>
      <c r="GU1" t="e">
        <f>AND(List1!G10,"AAAAAE3qX8o=")</f>
        <v>#VALUE!</v>
      </c>
      <c r="GV1" t="e">
        <f>AND(List1!H10,"AAAAAE3qX8s=")</f>
        <v>#VALUE!</v>
      </c>
      <c r="GW1" t="e">
        <f>AND(List1!I10,"AAAAAE3qX8w=")</f>
        <v>#VALUE!</v>
      </c>
      <c r="GX1" t="e">
        <f>AND(List1!J10,"AAAAAE3qX80=")</f>
        <v>#VALUE!</v>
      </c>
      <c r="GY1" t="e">
        <f>AND(List1!K10,"AAAAAE3qX84=")</f>
        <v>#VALUE!</v>
      </c>
      <c r="GZ1" t="e">
        <f>AND(List1!L10,"AAAAAE3qX88=")</f>
        <v>#VALUE!</v>
      </c>
      <c r="HA1" t="e">
        <f>AND(List1!M10,"AAAAAE3qX9A=")</f>
        <v>#VALUE!</v>
      </c>
      <c r="HB1" t="e">
        <f>AND(List1!N10,"AAAAAE3qX9E=")</f>
        <v>#VALUE!</v>
      </c>
      <c r="HC1" t="e">
        <f>AND(List1!O10,"AAAAAE3qX9I=")</f>
        <v>#VALUE!</v>
      </c>
      <c r="HD1" t="e">
        <f>AND(List1!P10,"AAAAAE3qX9M=")</f>
        <v>#VALUE!</v>
      </c>
      <c r="HE1" t="e">
        <f>AND(List1!Q10,"AAAAAE3qX9Q=")</f>
        <v>#VALUE!</v>
      </c>
      <c r="HF1" t="e">
        <f>AND(List1!R10,"AAAAAE3qX9U=")</f>
        <v>#VALUE!</v>
      </c>
      <c r="HG1" t="e">
        <f>AND(List1!S10,"AAAAAE3qX9Y=")</f>
        <v>#VALUE!</v>
      </c>
      <c r="HH1" t="e">
        <f>AND(List1!T10,"AAAAAE3qX9c=")</f>
        <v>#VALUE!</v>
      </c>
      <c r="HI1" t="e">
        <f>AND(List1!U10,"AAAAAE3qX9g=")</f>
        <v>#VALUE!</v>
      </c>
      <c r="HJ1" t="e">
        <f>AND(List1!V10,"AAAAAE3qX9k=")</f>
        <v>#VALUE!</v>
      </c>
      <c r="HK1" t="e">
        <f>AND(List1!W10,"AAAAAE3qX9o=")</f>
        <v>#VALUE!</v>
      </c>
      <c r="HL1" t="e">
        <f>AND(List1!X10,"AAAAAE3qX9s=")</f>
        <v>#VALUE!</v>
      </c>
      <c r="HM1" t="e">
        <f>AND(List1!Y10,"AAAAAE3qX9w=")</f>
        <v>#VALUE!</v>
      </c>
      <c r="HN1" t="e">
        <f>AND(List1!Z10,"AAAAAE3qX90=")</f>
        <v>#VALUE!</v>
      </c>
      <c r="HO1" t="e">
        <f>AND(List1!AA10,"AAAAAE3qX94=")</f>
        <v>#VALUE!</v>
      </c>
      <c r="HP1" t="e">
        <f>AND(List1!AB10,"AAAAAE3qX98=")</f>
        <v>#VALUE!</v>
      </c>
      <c r="HQ1">
        <f>IF(List1!11:11,"AAAAAE3qX+A=",0)</f>
        <v>0</v>
      </c>
      <c r="HR1" t="e">
        <f>AND(List1!B11,"AAAAAE3qX+E=")</f>
        <v>#VALUE!</v>
      </c>
      <c r="HS1" t="e">
        <f>AND(List1!C11,"AAAAAE3qX+I=")</f>
        <v>#VALUE!</v>
      </c>
      <c r="HT1" t="e">
        <f>AND(List1!D11,"AAAAAE3qX+M=")</f>
        <v>#VALUE!</v>
      </c>
      <c r="HU1" t="e">
        <f>AND(List1!E11,"AAAAAE3qX+Q=")</f>
        <v>#VALUE!</v>
      </c>
      <c r="HV1" t="e">
        <f>AND(List1!F11,"AAAAAE3qX+U=")</f>
        <v>#VALUE!</v>
      </c>
      <c r="HW1" t="e">
        <f>AND(List1!G11,"AAAAAE3qX+Y=")</f>
        <v>#VALUE!</v>
      </c>
      <c r="HX1" t="e">
        <f>AND(List1!H11,"AAAAAE3qX+c=")</f>
        <v>#VALUE!</v>
      </c>
      <c r="HY1" t="e">
        <f>AND(List1!I11,"AAAAAE3qX+g=")</f>
        <v>#VALUE!</v>
      </c>
      <c r="HZ1" t="e">
        <f>AND(List1!J11,"AAAAAE3qX+k=")</f>
        <v>#VALUE!</v>
      </c>
      <c r="IA1" t="e">
        <f>AND(List1!K11,"AAAAAE3qX+o=")</f>
        <v>#VALUE!</v>
      </c>
      <c r="IB1" t="e">
        <f>AND(List1!L11,"AAAAAE3qX+s=")</f>
        <v>#VALUE!</v>
      </c>
      <c r="IC1" t="e">
        <f>AND(List1!M11,"AAAAAE3qX+w=")</f>
        <v>#VALUE!</v>
      </c>
      <c r="ID1" t="e">
        <f>AND(List1!N11,"AAAAAE3qX+0=")</f>
        <v>#VALUE!</v>
      </c>
      <c r="IE1" t="e">
        <f>AND(List1!O11,"AAAAAE3qX+4=")</f>
        <v>#VALUE!</v>
      </c>
      <c r="IF1" t="e">
        <f>AND(List1!P11,"AAAAAE3qX+8=")</f>
        <v>#VALUE!</v>
      </c>
      <c r="IG1" t="e">
        <f>AND(List1!Q11,"AAAAAE3qX/A=")</f>
        <v>#VALUE!</v>
      </c>
      <c r="IH1" t="e">
        <f>AND(List1!R11,"AAAAAE3qX/E=")</f>
        <v>#VALUE!</v>
      </c>
      <c r="II1" t="e">
        <f>AND(List1!S11,"AAAAAE3qX/I=")</f>
        <v>#VALUE!</v>
      </c>
      <c r="IJ1" t="e">
        <f>AND(List1!T11,"AAAAAE3qX/M=")</f>
        <v>#VALUE!</v>
      </c>
      <c r="IK1" t="e">
        <f>AND(List1!U11,"AAAAAE3qX/Q=")</f>
        <v>#VALUE!</v>
      </c>
      <c r="IL1" t="e">
        <f>AND(List1!V11,"AAAAAE3qX/U=")</f>
        <v>#VALUE!</v>
      </c>
      <c r="IM1" t="e">
        <f>AND(List1!W11,"AAAAAE3qX/Y=")</f>
        <v>#VALUE!</v>
      </c>
      <c r="IN1" t="e">
        <f>AND(List1!X11,"AAAAAE3qX/c=")</f>
        <v>#VALUE!</v>
      </c>
      <c r="IO1" t="e">
        <f>AND(List1!Y11,"AAAAAE3qX/g=")</f>
        <v>#VALUE!</v>
      </c>
      <c r="IP1" t="e">
        <f>AND(List1!Z11,"AAAAAE3qX/k=")</f>
        <v>#VALUE!</v>
      </c>
      <c r="IQ1" t="e">
        <f>AND(List1!AA11,"AAAAAE3qX/o=")</f>
        <v>#VALUE!</v>
      </c>
      <c r="IR1" t="e">
        <f>AND(List1!AB11,"AAAAAE3qX/s=")</f>
        <v>#VALUE!</v>
      </c>
      <c r="IS1">
        <f>IF(List1!12:12,"AAAAAE3qX/w=",0)</f>
        <v>0</v>
      </c>
      <c r="IT1" t="e">
        <f>AND(List1!B12,"AAAAAE3qX/0=")</f>
        <v>#VALUE!</v>
      </c>
      <c r="IU1" t="e">
        <f>AND(List1!C12,"AAAAAE3qX/4=")</f>
        <v>#VALUE!</v>
      </c>
      <c r="IV1" t="e">
        <f>AND(List1!D12,"AAAAAE3qX/8=")</f>
        <v>#VALUE!</v>
      </c>
    </row>
    <row r="2" spans="1:256" x14ac:dyDescent="0.25">
      <c r="A2" t="e">
        <f>AND(List1!E12,"AAAAAHmfbgA=")</f>
        <v>#VALUE!</v>
      </c>
      <c r="B2" t="e">
        <f>AND(List1!F12,"AAAAAHmfbgE=")</f>
        <v>#VALUE!</v>
      </c>
      <c r="C2" t="e">
        <f>AND(List1!G12,"AAAAAHmfbgI=")</f>
        <v>#VALUE!</v>
      </c>
      <c r="D2" t="e">
        <f>AND(List1!H12,"AAAAAHmfbgM=")</f>
        <v>#VALUE!</v>
      </c>
      <c r="E2" t="e">
        <f>AND(List1!I12,"AAAAAHmfbgQ=")</f>
        <v>#VALUE!</v>
      </c>
      <c r="F2" t="e">
        <f>AND(List1!J12,"AAAAAHmfbgU=")</f>
        <v>#VALUE!</v>
      </c>
      <c r="G2" t="e">
        <f>AND(List1!K12,"AAAAAHmfbgY=")</f>
        <v>#VALUE!</v>
      </c>
      <c r="H2" t="e">
        <f>AND(List1!L12,"AAAAAHmfbgc=")</f>
        <v>#VALUE!</v>
      </c>
      <c r="I2" t="e">
        <f>AND(List1!M12,"AAAAAHmfbgg=")</f>
        <v>#VALUE!</v>
      </c>
      <c r="J2" t="e">
        <f>AND(List1!N12,"AAAAAHmfbgk=")</f>
        <v>#VALUE!</v>
      </c>
      <c r="K2" t="e">
        <f>AND(List1!O12,"AAAAAHmfbgo=")</f>
        <v>#VALUE!</v>
      </c>
      <c r="L2" t="e">
        <f>AND(List1!P12,"AAAAAHmfbgs=")</f>
        <v>#VALUE!</v>
      </c>
      <c r="M2" t="e">
        <f>AND(List1!Q12,"AAAAAHmfbgw=")</f>
        <v>#VALUE!</v>
      </c>
      <c r="N2" t="e">
        <f>AND(List1!R12,"AAAAAHmfbg0=")</f>
        <v>#VALUE!</v>
      </c>
      <c r="O2" t="e">
        <f>AND(List1!S12,"AAAAAHmfbg4=")</f>
        <v>#VALUE!</v>
      </c>
      <c r="P2" t="e">
        <f>AND(List1!T12,"AAAAAHmfbg8=")</f>
        <v>#VALUE!</v>
      </c>
      <c r="Q2" t="e">
        <f>AND(List1!U12,"AAAAAHmfbhA=")</f>
        <v>#VALUE!</v>
      </c>
      <c r="R2" t="e">
        <f>AND(List1!V12,"AAAAAHmfbhE=")</f>
        <v>#VALUE!</v>
      </c>
      <c r="S2" t="e">
        <f>AND(List1!W12,"AAAAAHmfbhI=")</f>
        <v>#VALUE!</v>
      </c>
      <c r="T2" t="e">
        <f>AND(List1!X12,"AAAAAHmfbhM=")</f>
        <v>#VALUE!</v>
      </c>
      <c r="U2" t="e">
        <f>AND(List1!Y12,"AAAAAHmfbhQ=")</f>
        <v>#VALUE!</v>
      </c>
      <c r="V2" t="e">
        <f>AND(List1!Z12,"AAAAAHmfbhU=")</f>
        <v>#VALUE!</v>
      </c>
      <c r="W2" t="e">
        <f>AND(List1!AA12,"AAAAAHmfbhY=")</f>
        <v>#VALUE!</v>
      </c>
      <c r="X2" t="e">
        <f>AND(List1!AB12,"AAAAAHmfbhc=")</f>
        <v>#VALUE!</v>
      </c>
      <c r="Y2">
        <f>IF(List1!13:13,"AAAAAHmfbhg=",0)</f>
        <v>0</v>
      </c>
      <c r="Z2" t="e">
        <f>AND(List1!B13,"AAAAAHmfbhk=")</f>
        <v>#VALUE!</v>
      </c>
      <c r="AA2" t="e">
        <f>AND(List1!C13,"AAAAAHmfbho=")</f>
        <v>#VALUE!</v>
      </c>
      <c r="AB2" t="e">
        <f>AND(List1!D13,"AAAAAHmfbhs=")</f>
        <v>#VALUE!</v>
      </c>
      <c r="AC2" t="e">
        <f>AND(List1!E13,"AAAAAHmfbhw=")</f>
        <v>#VALUE!</v>
      </c>
      <c r="AD2" t="e">
        <f>AND(List1!F13,"AAAAAHmfbh0=")</f>
        <v>#VALUE!</v>
      </c>
      <c r="AE2" t="e">
        <f>AND(List1!G13,"AAAAAHmfbh4=")</f>
        <v>#VALUE!</v>
      </c>
      <c r="AF2" t="e">
        <f>AND(List1!H13,"AAAAAHmfbh8=")</f>
        <v>#VALUE!</v>
      </c>
      <c r="AG2" t="e">
        <f>AND(List1!I13,"AAAAAHmfbiA=")</f>
        <v>#VALUE!</v>
      </c>
      <c r="AH2" t="e">
        <f>AND(List1!J13,"AAAAAHmfbiE=")</f>
        <v>#VALUE!</v>
      </c>
      <c r="AI2" t="e">
        <f>AND(List1!K13,"AAAAAHmfbiI=")</f>
        <v>#VALUE!</v>
      </c>
      <c r="AJ2" t="e">
        <f>AND(List1!L13,"AAAAAHmfbiM=")</f>
        <v>#VALUE!</v>
      </c>
      <c r="AK2" t="e">
        <f>AND(List1!M13,"AAAAAHmfbiQ=")</f>
        <v>#VALUE!</v>
      </c>
      <c r="AL2" t="e">
        <f>AND(List1!N13,"AAAAAHmfbiU=")</f>
        <v>#VALUE!</v>
      </c>
      <c r="AM2" t="e">
        <f>AND(List1!O13,"AAAAAHmfbiY=")</f>
        <v>#VALUE!</v>
      </c>
      <c r="AN2" t="e">
        <f>AND(List1!P13,"AAAAAHmfbic=")</f>
        <v>#VALUE!</v>
      </c>
      <c r="AO2" t="e">
        <f>AND(List1!Q13,"AAAAAHmfbig=")</f>
        <v>#VALUE!</v>
      </c>
      <c r="AP2" t="e">
        <f>AND(List1!R13,"AAAAAHmfbik=")</f>
        <v>#VALUE!</v>
      </c>
      <c r="AQ2" t="e">
        <f>AND(List1!S13,"AAAAAHmfbio=")</f>
        <v>#VALUE!</v>
      </c>
      <c r="AR2" t="e">
        <f>AND(List1!T13,"AAAAAHmfbis=")</f>
        <v>#VALUE!</v>
      </c>
      <c r="AS2" t="e">
        <f>AND(List1!U13,"AAAAAHmfbiw=")</f>
        <v>#VALUE!</v>
      </c>
      <c r="AT2" t="e">
        <f>AND(List1!V13,"AAAAAHmfbi0=")</f>
        <v>#VALUE!</v>
      </c>
      <c r="AU2" t="e">
        <f>AND(List1!W13,"AAAAAHmfbi4=")</f>
        <v>#VALUE!</v>
      </c>
      <c r="AV2" t="e">
        <f>AND(List1!X13,"AAAAAHmfbi8=")</f>
        <v>#VALUE!</v>
      </c>
      <c r="AW2" t="e">
        <f>AND(List1!Y13,"AAAAAHmfbjA=")</f>
        <v>#VALUE!</v>
      </c>
      <c r="AX2" t="e">
        <f>AND(List1!Z13,"AAAAAHmfbjE=")</f>
        <v>#VALUE!</v>
      </c>
      <c r="AY2" t="e">
        <f>AND(List1!AA13,"AAAAAHmfbjI=")</f>
        <v>#VALUE!</v>
      </c>
      <c r="AZ2" t="e">
        <f>AND(List1!AB13,"AAAAAHmfbjM=")</f>
        <v>#VALUE!</v>
      </c>
      <c r="BA2">
        <f>IF(List1!14:14,"AAAAAHmfbjQ=",0)</f>
        <v>0</v>
      </c>
      <c r="BB2" t="e">
        <f>AND(List1!B14,"AAAAAHmfbjU=")</f>
        <v>#VALUE!</v>
      </c>
      <c r="BC2" t="e">
        <f>AND(List1!C14,"AAAAAHmfbjY=")</f>
        <v>#VALUE!</v>
      </c>
      <c r="BD2" t="e">
        <f>AND(List1!D14,"AAAAAHmfbjc=")</f>
        <v>#VALUE!</v>
      </c>
      <c r="BE2" t="e">
        <f>AND(List1!E14,"AAAAAHmfbjg=")</f>
        <v>#VALUE!</v>
      </c>
      <c r="BF2" t="e">
        <f>AND(List1!F14,"AAAAAHmfbjk=")</f>
        <v>#VALUE!</v>
      </c>
      <c r="BG2" t="e">
        <f>AND(List1!G14,"AAAAAHmfbjo=")</f>
        <v>#VALUE!</v>
      </c>
      <c r="BH2" t="e">
        <f>AND(List1!H14,"AAAAAHmfbjs=")</f>
        <v>#VALUE!</v>
      </c>
      <c r="BI2" t="e">
        <f>AND(List1!I14,"AAAAAHmfbjw=")</f>
        <v>#VALUE!</v>
      </c>
      <c r="BJ2" t="e">
        <f>AND(List1!J14,"AAAAAHmfbj0=")</f>
        <v>#VALUE!</v>
      </c>
      <c r="BK2" t="e">
        <f>AND(List1!K14,"AAAAAHmfbj4=")</f>
        <v>#VALUE!</v>
      </c>
      <c r="BL2" t="e">
        <f>AND(List1!L14,"AAAAAHmfbj8=")</f>
        <v>#VALUE!</v>
      </c>
      <c r="BM2" t="e">
        <f>AND(List1!M14,"AAAAAHmfbkA=")</f>
        <v>#VALUE!</v>
      </c>
      <c r="BN2" t="e">
        <f>AND(List1!N14,"AAAAAHmfbkE=")</f>
        <v>#VALUE!</v>
      </c>
      <c r="BO2" t="e">
        <f>AND(List1!O14,"AAAAAHmfbkI=")</f>
        <v>#VALUE!</v>
      </c>
      <c r="BP2" t="e">
        <f>AND(List1!P14,"AAAAAHmfbkM=")</f>
        <v>#VALUE!</v>
      </c>
      <c r="BQ2" t="e">
        <f>AND(List1!Q14,"AAAAAHmfbkQ=")</f>
        <v>#VALUE!</v>
      </c>
      <c r="BR2" t="e">
        <f>AND(List1!R14,"AAAAAHmfbkU=")</f>
        <v>#VALUE!</v>
      </c>
      <c r="BS2" t="e">
        <f>AND(List1!S14,"AAAAAHmfbkY=")</f>
        <v>#VALUE!</v>
      </c>
      <c r="BT2" t="e">
        <f>AND(List1!T14,"AAAAAHmfbkc=")</f>
        <v>#VALUE!</v>
      </c>
      <c r="BU2" t="e">
        <f>AND(List1!U14,"AAAAAHmfbkg=")</f>
        <v>#VALUE!</v>
      </c>
      <c r="BV2" t="e">
        <f>AND(List1!V14,"AAAAAHmfbkk=")</f>
        <v>#VALUE!</v>
      </c>
      <c r="BW2" t="e">
        <f>AND(List1!W14,"AAAAAHmfbko=")</f>
        <v>#VALUE!</v>
      </c>
      <c r="BX2" t="e">
        <f>AND(List1!X14,"AAAAAHmfbks=")</f>
        <v>#VALUE!</v>
      </c>
      <c r="BY2" t="e">
        <f>AND(List1!Y14,"AAAAAHmfbkw=")</f>
        <v>#VALUE!</v>
      </c>
      <c r="BZ2" t="e">
        <f>AND(List1!Z14,"AAAAAHmfbk0=")</f>
        <v>#VALUE!</v>
      </c>
      <c r="CA2" t="e">
        <f>AND(List1!AA14,"AAAAAHmfbk4=")</f>
        <v>#VALUE!</v>
      </c>
      <c r="CB2" t="e">
        <f>AND(List1!AB14,"AAAAAHmfbk8=")</f>
        <v>#VALUE!</v>
      </c>
      <c r="CC2">
        <f>IF(List1!15:15,"AAAAAHmfblA=",0)</f>
        <v>0</v>
      </c>
      <c r="CD2" t="e">
        <f>AND(List1!B15,"AAAAAHmfblE=")</f>
        <v>#VALUE!</v>
      </c>
      <c r="CE2" t="e">
        <f>AND(List1!C15,"AAAAAHmfblI=")</f>
        <v>#VALUE!</v>
      </c>
      <c r="CF2" t="e">
        <f>AND(List1!D15,"AAAAAHmfblM=")</f>
        <v>#VALUE!</v>
      </c>
      <c r="CG2" t="e">
        <f>AND(List1!E15,"AAAAAHmfblQ=")</f>
        <v>#VALUE!</v>
      </c>
      <c r="CH2" t="e">
        <f>AND(List1!F15,"AAAAAHmfblU=")</f>
        <v>#VALUE!</v>
      </c>
      <c r="CI2" t="e">
        <f>AND(List1!G15,"AAAAAHmfblY=")</f>
        <v>#VALUE!</v>
      </c>
      <c r="CJ2" t="e">
        <f>AND(List1!H15,"AAAAAHmfblc=")</f>
        <v>#VALUE!</v>
      </c>
      <c r="CK2" t="e">
        <f>AND(List1!I15,"AAAAAHmfblg=")</f>
        <v>#VALUE!</v>
      </c>
      <c r="CL2" t="e">
        <f>AND(List1!J15,"AAAAAHmfblk=")</f>
        <v>#VALUE!</v>
      </c>
      <c r="CM2" t="e">
        <f>AND(List1!K15,"AAAAAHmfblo=")</f>
        <v>#VALUE!</v>
      </c>
      <c r="CN2" t="e">
        <f>AND(List1!L15,"AAAAAHmfbls=")</f>
        <v>#VALUE!</v>
      </c>
      <c r="CO2" t="e">
        <f>AND(List1!M15,"AAAAAHmfblw=")</f>
        <v>#VALUE!</v>
      </c>
      <c r="CP2" t="e">
        <f>AND(List1!N15,"AAAAAHmfbl0=")</f>
        <v>#VALUE!</v>
      </c>
      <c r="CQ2" t="e">
        <f>AND(List1!O15,"AAAAAHmfbl4=")</f>
        <v>#VALUE!</v>
      </c>
      <c r="CR2" t="e">
        <f>AND(List1!P15,"AAAAAHmfbl8=")</f>
        <v>#VALUE!</v>
      </c>
      <c r="CS2" t="e">
        <f>AND(List1!Q15,"AAAAAHmfbmA=")</f>
        <v>#VALUE!</v>
      </c>
      <c r="CT2" t="e">
        <f>AND(List1!R15,"AAAAAHmfbmE=")</f>
        <v>#VALUE!</v>
      </c>
      <c r="CU2" t="e">
        <f>AND(List1!S15,"AAAAAHmfbmI=")</f>
        <v>#VALUE!</v>
      </c>
      <c r="CV2" t="e">
        <f>AND(List1!T15,"AAAAAHmfbmM=")</f>
        <v>#VALUE!</v>
      </c>
      <c r="CW2" t="e">
        <f>AND(List1!U15,"AAAAAHmfbmQ=")</f>
        <v>#VALUE!</v>
      </c>
      <c r="CX2" t="e">
        <f>AND(List1!V15,"AAAAAHmfbmU=")</f>
        <v>#VALUE!</v>
      </c>
      <c r="CY2" t="e">
        <f>AND(List1!W15,"AAAAAHmfbmY=")</f>
        <v>#VALUE!</v>
      </c>
      <c r="CZ2" t="e">
        <f>AND(List1!X15,"AAAAAHmfbmc=")</f>
        <v>#VALUE!</v>
      </c>
      <c r="DA2" t="e">
        <f>AND(List1!Y15,"AAAAAHmfbmg=")</f>
        <v>#VALUE!</v>
      </c>
      <c r="DB2" t="e">
        <f>AND(List1!Z15,"AAAAAHmfbmk=")</f>
        <v>#VALUE!</v>
      </c>
      <c r="DC2" t="e">
        <f>AND(List1!AA15,"AAAAAHmfbmo=")</f>
        <v>#VALUE!</v>
      </c>
      <c r="DD2" t="e">
        <f>AND(List1!AB15,"AAAAAHmfbms=")</f>
        <v>#VALUE!</v>
      </c>
      <c r="DE2">
        <f>IF(List1!16:16,"AAAAAHmfbmw=",0)</f>
        <v>0</v>
      </c>
      <c r="DF2" t="e">
        <f>AND(List1!B16,"AAAAAHmfbm0=")</f>
        <v>#VALUE!</v>
      </c>
      <c r="DG2" t="e">
        <f>AND(List1!C16,"AAAAAHmfbm4=")</f>
        <v>#VALUE!</v>
      </c>
      <c r="DH2" t="e">
        <f>AND(List1!D16,"AAAAAHmfbm8=")</f>
        <v>#VALUE!</v>
      </c>
      <c r="DI2" t="e">
        <f>AND(List1!E16,"AAAAAHmfbnA=")</f>
        <v>#VALUE!</v>
      </c>
      <c r="DJ2" t="e">
        <f>AND(List1!F16,"AAAAAHmfbnE=")</f>
        <v>#VALUE!</v>
      </c>
      <c r="DK2" t="e">
        <f>AND(List1!G16,"AAAAAHmfbnI=")</f>
        <v>#VALUE!</v>
      </c>
      <c r="DL2" t="e">
        <f>AND(List1!H16,"AAAAAHmfbnM=")</f>
        <v>#VALUE!</v>
      </c>
      <c r="DM2" t="e">
        <f>AND(List1!I16,"AAAAAHmfbnQ=")</f>
        <v>#VALUE!</v>
      </c>
      <c r="DN2" t="e">
        <f>AND(List1!J16,"AAAAAHmfbnU=")</f>
        <v>#VALUE!</v>
      </c>
      <c r="DO2" t="e">
        <f>AND(List1!K16,"AAAAAHmfbnY=")</f>
        <v>#VALUE!</v>
      </c>
      <c r="DP2" t="e">
        <f>AND(List1!L16,"AAAAAHmfbnc=")</f>
        <v>#VALUE!</v>
      </c>
      <c r="DQ2" t="e">
        <f>AND(List1!M16,"AAAAAHmfbng=")</f>
        <v>#VALUE!</v>
      </c>
      <c r="DR2" t="e">
        <f>AND(List1!N16,"AAAAAHmfbnk=")</f>
        <v>#VALUE!</v>
      </c>
      <c r="DS2" t="e">
        <f>AND(List1!O16,"AAAAAHmfbno=")</f>
        <v>#VALUE!</v>
      </c>
      <c r="DT2" t="e">
        <f>AND(List1!P16,"AAAAAHmfbns=")</f>
        <v>#VALUE!</v>
      </c>
      <c r="DU2" t="e">
        <f>AND(List1!Q16,"AAAAAHmfbnw=")</f>
        <v>#VALUE!</v>
      </c>
      <c r="DV2" t="e">
        <f>AND(List1!R16,"AAAAAHmfbn0=")</f>
        <v>#VALUE!</v>
      </c>
      <c r="DW2" t="e">
        <f>AND(List1!S16,"AAAAAHmfbn4=")</f>
        <v>#VALUE!</v>
      </c>
      <c r="DX2" t="e">
        <f>AND(List1!T16,"AAAAAHmfbn8=")</f>
        <v>#VALUE!</v>
      </c>
      <c r="DY2" t="e">
        <f>AND(List1!U16,"AAAAAHmfboA=")</f>
        <v>#VALUE!</v>
      </c>
      <c r="DZ2" t="e">
        <f>AND(List1!V16,"AAAAAHmfboE=")</f>
        <v>#VALUE!</v>
      </c>
      <c r="EA2" t="e">
        <f>AND(List1!W16,"AAAAAHmfboI=")</f>
        <v>#VALUE!</v>
      </c>
      <c r="EB2" t="e">
        <f>AND(List1!X16,"AAAAAHmfboM=")</f>
        <v>#VALUE!</v>
      </c>
      <c r="EC2" t="e">
        <f>AND(List1!Y16,"AAAAAHmfboQ=")</f>
        <v>#VALUE!</v>
      </c>
      <c r="ED2" t="e">
        <f>AND(List1!Z16,"AAAAAHmfboU=")</f>
        <v>#VALUE!</v>
      </c>
      <c r="EE2" t="e">
        <f>AND(List1!AA16,"AAAAAHmfboY=")</f>
        <v>#VALUE!</v>
      </c>
      <c r="EF2" t="e">
        <f>AND(List1!AB16,"AAAAAHmfboc=")</f>
        <v>#VALUE!</v>
      </c>
      <c r="EG2">
        <f>IF(List1!17:17,"AAAAAHmfbog=",0)</f>
        <v>0</v>
      </c>
      <c r="EH2" t="e">
        <f>AND(List1!B17,"AAAAAHmfbok=")</f>
        <v>#VALUE!</v>
      </c>
      <c r="EI2" t="e">
        <f>AND(List1!C17,"AAAAAHmfboo=")</f>
        <v>#VALUE!</v>
      </c>
      <c r="EJ2" t="e">
        <f>AND(List1!D17,"AAAAAHmfbos=")</f>
        <v>#VALUE!</v>
      </c>
      <c r="EK2" t="e">
        <f>AND(List1!E17,"AAAAAHmfbow=")</f>
        <v>#VALUE!</v>
      </c>
      <c r="EL2" t="e">
        <f>AND(List1!F17,"AAAAAHmfbo0=")</f>
        <v>#VALUE!</v>
      </c>
      <c r="EM2" t="e">
        <f>AND(List1!G17,"AAAAAHmfbo4=")</f>
        <v>#VALUE!</v>
      </c>
      <c r="EN2" t="e">
        <f>AND(List1!H17,"AAAAAHmfbo8=")</f>
        <v>#VALUE!</v>
      </c>
      <c r="EO2" t="e">
        <f>AND(List1!I17,"AAAAAHmfbpA=")</f>
        <v>#VALUE!</v>
      </c>
      <c r="EP2" t="e">
        <f>AND(List1!J17,"AAAAAHmfbpE=")</f>
        <v>#VALUE!</v>
      </c>
      <c r="EQ2" t="e">
        <f>AND(List1!K17,"AAAAAHmfbpI=")</f>
        <v>#VALUE!</v>
      </c>
      <c r="ER2" t="e">
        <f>AND(List1!L17,"AAAAAHmfbpM=")</f>
        <v>#VALUE!</v>
      </c>
      <c r="ES2" t="e">
        <f>AND(List1!M17,"AAAAAHmfbpQ=")</f>
        <v>#VALUE!</v>
      </c>
      <c r="ET2" t="e">
        <f>AND(List1!N17,"AAAAAHmfbpU=")</f>
        <v>#VALUE!</v>
      </c>
      <c r="EU2" t="e">
        <f>AND(List1!O17,"AAAAAHmfbpY=")</f>
        <v>#VALUE!</v>
      </c>
      <c r="EV2" t="e">
        <f>AND(List1!P17,"AAAAAHmfbpc=")</f>
        <v>#VALUE!</v>
      </c>
      <c r="EW2" t="e">
        <f>AND(List1!Q17,"AAAAAHmfbpg=")</f>
        <v>#VALUE!</v>
      </c>
      <c r="EX2" t="e">
        <f>AND(List1!R17,"AAAAAHmfbpk=")</f>
        <v>#VALUE!</v>
      </c>
      <c r="EY2" t="e">
        <f>AND(List1!S17,"AAAAAHmfbpo=")</f>
        <v>#VALUE!</v>
      </c>
      <c r="EZ2" t="e">
        <f>AND(List1!T17,"AAAAAHmfbps=")</f>
        <v>#VALUE!</v>
      </c>
      <c r="FA2" t="e">
        <f>AND(List1!U17,"AAAAAHmfbpw=")</f>
        <v>#VALUE!</v>
      </c>
      <c r="FB2" t="e">
        <f>AND(List1!V17,"AAAAAHmfbp0=")</f>
        <v>#VALUE!</v>
      </c>
      <c r="FC2" t="e">
        <f>AND(List1!W17,"AAAAAHmfbp4=")</f>
        <v>#VALUE!</v>
      </c>
      <c r="FD2" t="e">
        <f>AND(List1!X17,"AAAAAHmfbp8=")</f>
        <v>#VALUE!</v>
      </c>
      <c r="FE2" t="e">
        <f>AND(List1!Y17,"AAAAAHmfbqA=")</f>
        <v>#VALUE!</v>
      </c>
      <c r="FF2" t="e">
        <f>AND(List1!Z17,"AAAAAHmfbqE=")</f>
        <v>#VALUE!</v>
      </c>
      <c r="FG2" t="e">
        <f>AND(List1!AA17,"AAAAAHmfbqI=")</f>
        <v>#VALUE!</v>
      </c>
      <c r="FH2" t="e">
        <f>AND(List1!AB17,"AAAAAHmfbqM=")</f>
        <v>#VALUE!</v>
      </c>
      <c r="FI2">
        <f>IF(List1!18:18,"AAAAAHmfbqQ=",0)</f>
        <v>0</v>
      </c>
      <c r="FJ2" t="e">
        <f>AND(List1!B18,"AAAAAHmfbqU=")</f>
        <v>#VALUE!</v>
      </c>
      <c r="FK2" t="e">
        <f>AND(List1!C18,"AAAAAHmfbqY=")</f>
        <v>#VALUE!</v>
      </c>
      <c r="FL2" t="e">
        <f>AND(List1!D18,"AAAAAHmfbqc=")</f>
        <v>#VALUE!</v>
      </c>
      <c r="FM2" t="e">
        <f>AND(List1!E18,"AAAAAHmfbqg=")</f>
        <v>#VALUE!</v>
      </c>
      <c r="FN2" t="e">
        <f>AND(List1!F18,"AAAAAHmfbqk=")</f>
        <v>#VALUE!</v>
      </c>
      <c r="FO2" t="e">
        <f>AND(List1!G18,"AAAAAHmfbqo=")</f>
        <v>#VALUE!</v>
      </c>
      <c r="FP2" t="e">
        <f>AND(List1!H18,"AAAAAHmfbqs=")</f>
        <v>#VALUE!</v>
      </c>
      <c r="FQ2" t="e">
        <f>AND(List1!I18,"AAAAAHmfbqw=")</f>
        <v>#VALUE!</v>
      </c>
      <c r="FR2" t="e">
        <f>AND(List1!J18,"AAAAAHmfbq0=")</f>
        <v>#VALUE!</v>
      </c>
      <c r="FS2" t="e">
        <f>AND(List1!K18,"AAAAAHmfbq4=")</f>
        <v>#VALUE!</v>
      </c>
      <c r="FT2" t="e">
        <f>AND(List1!L18,"AAAAAHmfbq8=")</f>
        <v>#VALUE!</v>
      </c>
      <c r="FU2" t="e">
        <f>AND(List1!M18,"AAAAAHmfbrA=")</f>
        <v>#VALUE!</v>
      </c>
      <c r="FV2" t="e">
        <f>AND(List1!N18,"AAAAAHmfbrE=")</f>
        <v>#VALUE!</v>
      </c>
      <c r="FW2" t="e">
        <f>AND(List1!O18,"AAAAAHmfbrI=")</f>
        <v>#VALUE!</v>
      </c>
      <c r="FX2" t="e">
        <f>AND(List1!P18,"AAAAAHmfbrM=")</f>
        <v>#VALUE!</v>
      </c>
      <c r="FY2" t="e">
        <f>AND(List1!Q18,"AAAAAHmfbrQ=")</f>
        <v>#VALUE!</v>
      </c>
      <c r="FZ2" t="e">
        <f>AND(List1!R18,"AAAAAHmfbrU=")</f>
        <v>#VALUE!</v>
      </c>
      <c r="GA2" t="e">
        <f>AND(List1!S18,"AAAAAHmfbrY=")</f>
        <v>#VALUE!</v>
      </c>
      <c r="GB2" t="e">
        <f>AND(List1!T18,"AAAAAHmfbrc=")</f>
        <v>#VALUE!</v>
      </c>
      <c r="GC2" t="e">
        <f>AND(List1!U18,"AAAAAHmfbrg=")</f>
        <v>#VALUE!</v>
      </c>
      <c r="GD2" t="e">
        <f>AND(List1!V18,"AAAAAHmfbrk=")</f>
        <v>#VALUE!</v>
      </c>
      <c r="GE2" t="e">
        <f>AND(List1!W18,"AAAAAHmfbro=")</f>
        <v>#VALUE!</v>
      </c>
      <c r="GF2" t="e">
        <f>AND(List1!X18,"AAAAAHmfbrs=")</f>
        <v>#VALUE!</v>
      </c>
      <c r="GG2" t="e">
        <f>AND(List1!Y18,"AAAAAHmfbrw=")</f>
        <v>#VALUE!</v>
      </c>
      <c r="GH2" t="e">
        <f>AND(List1!Z18,"AAAAAHmfbr0=")</f>
        <v>#VALUE!</v>
      </c>
      <c r="GI2" t="e">
        <f>AND(List1!AA18,"AAAAAHmfbr4=")</f>
        <v>#VALUE!</v>
      </c>
      <c r="GJ2" t="e">
        <f>AND(List1!AB18,"AAAAAHmfbr8=")</f>
        <v>#VALUE!</v>
      </c>
      <c r="GK2">
        <f>IF(List1!19:19,"AAAAAHmfbsA=",0)</f>
        <v>0</v>
      </c>
      <c r="GL2" t="e">
        <f>AND(List1!B19,"AAAAAHmfbsE=")</f>
        <v>#VALUE!</v>
      </c>
      <c r="GM2" t="e">
        <f>AND(List1!C19,"AAAAAHmfbsI=")</f>
        <v>#VALUE!</v>
      </c>
      <c r="GN2" t="e">
        <f>AND(List1!D19,"AAAAAHmfbsM=")</f>
        <v>#VALUE!</v>
      </c>
      <c r="GO2" t="e">
        <f>AND(List1!E19,"AAAAAHmfbsQ=")</f>
        <v>#VALUE!</v>
      </c>
      <c r="GP2" t="e">
        <f>AND(List1!F19,"AAAAAHmfbsU=")</f>
        <v>#VALUE!</v>
      </c>
      <c r="GQ2" t="e">
        <f>AND(List1!G19,"AAAAAHmfbsY=")</f>
        <v>#VALUE!</v>
      </c>
      <c r="GR2" t="e">
        <f>AND(List1!H19,"AAAAAHmfbsc=")</f>
        <v>#VALUE!</v>
      </c>
      <c r="GS2" t="e">
        <f>AND(List1!I19,"AAAAAHmfbsg=")</f>
        <v>#VALUE!</v>
      </c>
      <c r="GT2" t="e">
        <f>AND(List1!J19,"AAAAAHmfbsk=")</f>
        <v>#VALUE!</v>
      </c>
      <c r="GU2" t="e">
        <f>AND(List1!K19,"AAAAAHmfbso=")</f>
        <v>#VALUE!</v>
      </c>
      <c r="GV2" t="e">
        <f>AND(List1!L19,"AAAAAHmfbss=")</f>
        <v>#VALUE!</v>
      </c>
      <c r="GW2" t="e">
        <f>AND(List1!M19,"AAAAAHmfbsw=")</f>
        <v>#VALUE!</v>
      </c>
      <c r="GX2" t="e">
        <f>AND(List1!N19,"AAAAAHmfbs0=")</f>
        <v>#VALUE!</v>
      </c>
      <c r="GY2" t="e">
        <f>AND(List1!O19,"AAAAAHmfbs4=")</f>
        <v>#VALUE!</v>
      </c>
      <c r="GZ2" t="e">
        <f>AND(List1!P19,"AAAAAHmfbs8=")</f>
        <v>#VALUE!</v>
      </c>
      <c r="HA2" t="e">
        <f>AND(List1!Q19,"AAAAAHmfbtA=")</f>
        <v>#VALUE!</v>
      </c>
      <c r="HB2" t="e">
        <f>AND(List1!R19,"AAAAAHmfbtE=")</f>
        <v>#VALUE!</v>
      </c>
      <c r="HC2" t="e">
        <f>AND(List1!S19,"AAAAAHmfbtI=")</f>
        <v>#VALUE!</v>
      </c>
      <c r="HD2" t="e">
        <f>AND(List1!T19,"AAAAAHmfbtM=")</f>
        <v>#VALUE!</v>
      </c>
      <c r="HE2" t="e">
        <f>AND(List1!U19,"AAAAAHmfbtQ=")</f>
        <v>#VALUE!</v>
      </c>
      <c r="HF2" t="e">
        <f>AND(List1!V19,"AAAAAHmfbtU=")</f>
        <v>#VALUE!</v>
      </c>
      <c r="HG2" t="e">
        <f>AND(List1!W19,"AAAAAHmfbtY=")</f>
        <v>#VALUE!</v>
      </c>
      <c r="HH2" t="e">
        <f>AND(List1!X19,"AAAAAHmfbtc=")</f>
        <v>#VALUE!</v>
      </c>
      <c r="HI2" t="e">
        <f>AND(List1!Y19,"AAAAAHmfbtg=")</f>
        <v>#VALUE!</v>
      </c>
      <c r="HJ2" t="e">
        <f>AND(List1!Z19,"AAAAAHmfbtk=")</f>
        <v>#VALUE!</v>
      </c>
      <c r="HK2" t="e">
        <f>AND(List1!AA19,"AAAAAHmfbto=")</f>
        <v>#VALUE!</v>
      </c>
      <c r="HL2" t="e">
        <f>AND(List1!AB19,"AAAAAHmfbts=")</f>
        <v>#VALUE!</v>
      </c>
      <c r="HM2">
        <f>IF(List1!20:20,"AAAAAHmfbtw=",0)</f>
        <v>0</v>
      </c>
      <c r="HN2" t="e">
        <f>AND(List1!B20,"AAAAAHmfbt0=")</f>
        <v>#VALUE!</v>
      </c>
      <c r="HO2" t="e">
        <f>AND(List1!C20,"AAAAAHmfbt4=")</f>
        <v>#VALUE!</v>
      </c>
      <c r="HP2" t="e">
        <f>AND(List1!D20,"AAAAAHmfbt8=")</f>
        <v>#VALUE!</v>
      </c>
      <c r="HQ2" t="e">
        <f>AND(List1!E20,"AAAAAHmfbuA=")</f>
        <v>#VALUE!</v>
      </c>
      <c r="HR2" t="e">
        <f>AND(List1!F20,"AAAAAHmfbuE=")</f>
        <v>#VALUE!</v>
      </c>
      <c r="HS2" t="e">
        <f>AND(List1!G20,"AAAAAHmfbuI=")</f>
        <v>#VALUE!</v>
      </c>
      <c r="HT2" t="e">
        <f>AND(List1!H20,"AAAAAHmfbuM=")</f>
        <v>#VALUE!</v>
      </c>
      <c r="HU2" t="e">
        <f>AND(List1!I20,"AAAAAHmfbuQ=")</f>
        <v>#VALUE!</v>
      </c>
      <c r="HV2" t="e">
        <f>AND(List1!J20,"AAAAAHmfbuU=")</f>
        <v>#VALUE!</v>
      </c>
      <c r="HW2" t="e">
        <f>AND(List1!K20,"AAAAAHmfbuY=")</f>
        <v>#VALUE!</v>
      </c>
      <c r="HX2" t="e">
        <f>AND(List1!L20,"AAAAAHmfbuc=")</f>
        <v>#VALUE!</v>
      </c>
      <c r="HY2" t="e">
        <f>AND(List1!M20,"AAAAAHmfbug=")</f>
        <v>#VALUE!</v>
      </c>
      <c r="HZ2" t="e">
        <f>AND(List1!N20,"AAAAAHmfbuk=")</f>
        <v>#VALUE!</v>
      </c>
      <c r="IA2" t="e">
        <f>AND(List1!O20,"AAAAAHmfbuo=")</f>
        <v>#VALUE!</v>
      </c>
      <c r="IB2" t="e">
        <f>AND(List1!P20,"AAAAAHmfbus=")</f>
        <v>#VALUE!</v>
      </c>
      <c r="IC2" t="e">
        <f>AND(List1!Q20,"AAAAAHmfbuw=")</f>
        <v>#VALUE!</v>
      </c>
      <c r="ID2" t="e">
        <f>AND(List1!R20,"AAAAAHmfbu0=")</f>
        <v>#VALUE!</v>
      </c>
      <c r="IE2" t="e">
        <f>AND(List1!S20,"AAAAAHmfbu4=")</f>
        <v>#VALUE!</v>
      </c>
      <c r="IF2" t="e">
        <f>AND(List1!T20,"AAAAAHmfbu8=")</f>
        <v>#VALUE!</v>
      </c>
      <c r="IG2" t="e">
        <f>AND(List1!U20,"AAAAAHmfbvA=")</f>
        <v>#VALUE!</v>
      </c>
      <c r="IH2" t="e">
        <f>AND(List1!V20,"AAAAAHmfbvE=")</f>
        <v>#VALUE!</v>
      </c>
      <c r="II2" t="e">
        <f>AND(List1!W20,"AAAAAHmfbvI=")</f>
        <v>#VALUE!</v>
      </c>
      <c r="IJ2" t="e">
        <f>AND(List1!X20,"AAAAAHmfbvM=")</f>
        <v>#VALUE!</v>
      </c>
      <c r="IK2" t="e">
        <f>AND(List1!Y20,"AAAAAHmfbvQ=")</f>
        <v>#VALUE!</v>
      </c>
      <c r="IL2" t="e">
        <f>AND(List1!Z20,"AAAAAHmfbvU=")</f>
        <v>#VALUE!</v>
      </c>
      <c r="IM2" t="e">
        <f>AND(List1!AA20,"AAAAAHmfbvY=")</f>
        <v>#VALUE!</v>
      </c>
      <c r="IN2" t="e">
        <f>AND(List1!AB20,"AAAAAHmfbvc=")</f>
        <v>#VALUE!</v>
      </c>
      <c r="IO2">
        <f>IF(List1!21:21,"AAAAAHmfbvg=",0)</f>
        <v>0</v>
      </c>
      <c r="IP2" t="e">
        <f>AND(List1!B21,"AAAAAHmfbvk=")</f>
        <v>#VALUE!</v>
      </c>
      <c r="IQ2" t="e">
        <f>AND(List1!C21,"AAAAAHmfbvo=")</f>
        <v>#VALUE!</v>
      </c>
      <c r="IR2" t="e">
        <f>AND(List1!D21,"AAAAAHmfbvs=")</f>
        <v>#VALUE!</v>
      </c>
      <c r="IS2" t="e">
        <f>AND(List1!E21,"AAAAAHmfbvw=")</f>
        <v>#VALUE!</v>
      </c>
      <c r="IT2" t="e">
        <f>AND(List1!F21,"AAAAAHmfbv0=")</f>
        <v>#VALUE!</v>
      </c>
      <c r="IU2" t="e">
        <f>AND(List1!G21,"AAAAAHmfbv4=")</f>
        <v>#VALUE!</v>
      </c>
      <c r="IV2" t="e">
        <f>AND(List1!H21,"AAAAAHmfbv8=")</f>
        <v>#VALUE!</v>
      </c>
    </row>
    <row r="3" spans="1:256" x14ac:dyDescent="0.25">
      <c r="A3" t="e">
        <f>AND(List1!I21,"AAAAAF/KfgA=")</f>
        <v>#VALUE!</v>
      </c>
      <c r="B3" t="e">
        <f>AND(List1!J21,"AAAAAF/KfgE=")</f>
        <v>#VALUE!</v>
      </c>
      <c r="C3" t="e">
        <f>AND(List1!K21,"AAAAAF/KfgI=")</f>
        <v>#VALUE!</v>
      </c>
      <c r="D3" t="e">
        <f>AND(List1!L21,"AAAAAF/KfgM=")</f>
        <v>#VALUE!</v>
      </c>
      <c r="E3" t="e">
        <f>AND(List1!M21,"AAAAAF/KfgQ=")</f>
        <v>#VALUE!</v>
      </c>
      <c r="F3" t="e">
        <f>AND(List1!N21,"AAAAAF/KfgU=")</f>
        <v>#VALUE!</v>
      </c>
      <c r="G3" t="e">
        <f>AND(List1!O21,"AAAAAF/KfgY=")</f>
        <v>#VALUE!</v>
      </c>
      <c r="H3" t="e">
        <f>AND(List1!P21,"AAAAAF/Kfgc=")</f>
        <v>#VALUE!</v>
      </c>
      <c r="I3" t="e">
        <f>AND(List1!Q21,"AAAAAF/Kfgg=")</f>
        <v>#VALUE!</v>
      </c>
      <c r="J3" t="e">
        <f>AND(List1!R21,"AAAAAF/Kfgk=")</f>
        <v>#VALUE!</v>
      </c>
      <c r="K3" t="e">
        <f>AND(List1!S21,"AAAAAF/Kfgo=")</f>
        <v>#VALUE!</v>
      </c>
      <c r="L3" t="e">
        <f>AND(List1!T21,"AAAAAF/Kfgs=")</f>
        <v>#VALUE!</v>
      </c>
      <c r="M3" t="e">
        <f>AND(List1!U21,"AAAAAF/Kfgw=")</f>
        <v>#VALUE!</v>
      </c>
      <c r="N3" t="e">
        <f>AND(List1!V21,"AAAAAF/Kfg0=")</f>
        <v>#VALUE!</v>
      </c>
      <c r="O3" t="e">
        <f>AND(List1!W21,"AAAAAF/Kfg4=")</f>
        <v>#VALUE!</v>
      </c>
      <c r="P3" t="e">
        <f>AND(List1!X21,"AAAAAF/Kfg8=")</f>
        <v>#VALUE!</v>
      </c>
      <c r="Q3" t="e">
        <f>AND(List1!Y21,"AAAAAF/KfhA=")</f>
        <v>#VALUE!</v>
      </c>
      <c r="R3" t="e">
        <f>AND(List1!Z21,"AAAAAF/KfhE=")</f>
        <v>#VALUE!</v>
      </c>
      <c r="S3" t="e">
        <f>AND(List1!AA21,"AAAAAF/KfhI=")</f>
        <v>#VALUE!</v>
      </c>
      <c r="T3" t="e">
        <f>AND(List1!AB21,"AAAAAF/KfhM=")</f>
        <v>#VALUE!</v>
      </c>
      <c r="U3">
        <f>IF(List1!22:22,"AAAAAF/KfhQ=",0)</f>
        <v>0</v>
      </c>
      <c r="V3" t="e">
        <f>AND(List1!B22,"AAAAAF/KfhU=")</f>
        <v>#VALUE!</v>
      </c>
      <c r="W3" t="e">
        <f>AND(List1!C22,"AAAAAF/KfhY=")</f>
        <v>#VALUE!</v>
      </c>
      <c r="X3" t="e">
        <f>AND(List1!D22,"AAAAAF/Kfhc=")</f>
        <v>#VALUE!</v>
      </c>
      <c r="Y3" t="e">
        <f>AND(List1!E22,"AAAAAF/Kfhg=")</f>
        <v>#VALUE!</v>
      </c>
      <c r="Z3" t="e">
        <f>AND(List1!F22,"AAAAAF/Kfhk=")</f>
        <v>#VALUE!</v>
      </c>
      <c r="AA3" t="e">
        <f>AND(List1!G22,"AAAAAF/Kfho=")</f>
        <v>#VALUE!</v>
      </c>
      <c r="AB3" t="e">
        <f>AND(List1!H22,"AAAAAF/Kfhs=")</f>
        <v>#VALUE!</v>
      </c>
      <c r="AC3" t="e">
        <f>AND(List1!I22,"AAAAAF/Kfhw=")</f>
        <v>#VALUE!</v>
      </c>
      <c r="AD3" t="e">
        <f>AND(List1!J22,"AAAAAF/Kfh0=")</f>
        <v>#VALUE!</v>
      </c>
      <c r="AE3" t="e">
        <f>AND(List1!K22,"AAAAAF/Kfh4=")</f>
        <v>#VALUE!</v>
      </c>
      <c r="AF3" t="e">
        <f>AND(List1!L22,"AAAAAF/Kfh8=")</f>
        <v>#VALUE!</v>
      </c>
      <c r="AG3" t="e">
        <f>AND(List1!M22,"AAAAAF/KfiA=")</f>
        <v>#VALUE!</v>
      </c>
      <c r="AH3" t="e">
        <f>AND(List1!N22,"AAAAAF/KfiE=")</f>
        <v>#VALUE!</v>
      </c>
      <c r="AI3" t="e">
        <f>AND(List1!O22,"AAAAAF/KfiI=")</f>
        <v>#VALUE!</v>
      </c>
      <c r="AJ3" t="e">
        <f>AND(List1!P22,"AAAAAF/KfiM=")</f>
        <v>#VALUE!</v>
      </c>
      <c r="AK3" t="e">
        <f>AND(List1!Q22,"AAAAAF/KfiQ=")</f>
        <v>#VALUE!</v>
      </c>
      <c r="AL3" t="e">
        <f>AND(List1!R22,"AAAAAF/KfiU=")</f>
        <v>#VALUE!</v>
      </c>
      <c r="AM3" t="e">
        <f>AND(List1!S22,"AAAAAF/KfiY=")</f>
        <v>#VALUE!</v>
      </c>
      <c r="AN3" t="e">
        <f>AND(List1!T22,"AAAAAF/Kfic=")</f>
        <v>#VALUE!</v>
      </c>
      <c r="AO3" t="e">
        <f>AND(List1!U22,"AAAAAF/Kfig=")</f>
        <v>#VALUE!</v>
      </c>
      <c r="AP3" t="e">
        <f>AND(List1!V22,"AAAAAF/Kfik=")</f>
        <v>#VALUE!</v>
      </c>
      <c r="AQ3" t="e">
        <f>AND(List1!W22,"AAAAAF/Kfio=")</f>
        <v>#VALUE!</v>
      </c>
      <c r="AR3" t="e">
        <f>AND(List1!X22,"AAAAAF/Kfis=")</f>
        <v>#VALUE!</v>
      </c>
      <c r="AS3" t="e">
        <f>AND(List1!Y22,"AAAAAF/Kfiw=")</f>
        <v>#VALUE!</v>
      </c>
      <c r="AT3" t="e">
        <f>AND(List1!Z22,"AAAAAF/Kfi0=")</f>
        <v>#VALUE!</v>
      </c>
      <c r="AU3" t="e">
        <f>AND(List1!AA22,"AAAAAF/Kfi4=")</f>
        <v>#VALUE!</v>
      </c>
      <c r="AV3" t="e">
        <f>AND(List1!AB22,"AAAAAF/Kfi8=")</f>
        <v>#VALUE!</v>
      </c>
      <c r="AW3">
        <f>IF(List1!23:23,"AAAAAF/KfjA=",0)</f>
        <v>0</v>
      </c>
      <c r="AX3" t="e">
        <f>AND(List1!B23,"AAAAAF/KfjE=")</f>
        <v>#VALUE!</v>
      </c>
      <c r="AY3" t="e">
        <f>AND(List1!C23,"AAAAAF/KfjI=")</f>
        <v>#VALUE!</v>
      </c>
      <c r="AZ3" t="e">
        <f>AND(List1!D23,"AAAAAF/KfjM=")</f>
        <v>#VALUE!</v>
      </c>
      <c r="BA3" t="e">
        <f>AND(List1!E23,"AAAAAF/KfjQ=")</f>
        <v>#VALUE!</v>
      </c>
      <c r="BB3" t="e">
        <f>AND(List1!F23,"AAAAAF/KfjU=")</f>
        <v>#VALUE!</v>
      </c>
      <c r="BC3" t="e">
        <f>AND(List1!G23,"AAAAAF/KfjY=")</f>
        <v>#VALUE!</v>
      </c>
      <c r="BD3" t="e">
        <f>AND(List1!H23,"AAAAAF/Kfjc=")</f>
        <v>#VALUE!</v>
      </c>
      <c r="BE3" t="e">
        <f>AND(List1!I23,"AAAAAF/Kfjg=")</f>
        <v>#VALUE!</v>
      </c>
      <c r="BF3" t="e">
        <f>AND(List1!J23,"AAAAAF/Kfjk=")</f>
        <v>#VALUE!</v>
      </c>
      <c r="BG3" t="e">
        <f>AND(List1!K23,"AAAAAF/Kfjo=")</f>
        <v>#VALUE!</v>
      </c>
      <c r="BH3" t="e">
        <f>AND(List1!L23,"AAAAAF/Kfjs=")</f>
        <v>#VALUE!</v>
      </c>
      <c r="BI3" t="e">
        <f>AND(List1!M23,"AAAAAF/Kfjw=")</f>
        <v>#VALUE!</v>
      </c>
      <c r="BJ3" t="e">
        <f>AND(List1!N23,"AAAAAF/Kfj0=")</f>
        <v>#VALUE!</v>
      </c>
      <c r="BK3" t="e">
        <f>AND(List1!O23,"AAAAAF/Kfj4=")</f>
        <v>#VALUE!</v>
      </c>
      <c r="BL3" t="e">
        <f>AND(List1!P23,"AAAAAF/Kfj8=")</f>
        <v>#VALUE!</v>
      </c>
      <c r="BM3" t="e">
        <f>AND(List1!Q23,"AAAAAF/KfkA=")</f>
        <v>#VALUE!</v>
      </c>
      <c r="BN3" t="e">
        <f>AND(List1!R23,"AAAAAF/KfkE=")</f>
        <v>#VALUE!</v>
      </c>
      <c r="BO3" t="e">
        <f>AND(List1!S23,"AAAAAF/KfkI=")</f>
        <v>#VALUE!</v>
      </c>
      <c r="BP3" t="e">
        <f>AND(List1!T23,"AAAAAF/KfkM=")</f>
        <v>#VALUE!</v>
      </c>
      <c r="BQ3" t="e">
        <f>AND(List1!U23,"AAAAAF/KfkQ=")</f>
        <v>#VALUE!</v>
      </c>
      <c r="BR3" t="e">
        <f>AND(List1!V23,"AAAAAF/KfkU=")</f>
        <v>#VALUE!</v>
      </c>
      <c r="BS3" t="e">
        <f>AND(List1!W23,"AAAAAF/KfkY=")</f>
        <v>#VALUE!</v>
      </c>
      <c r="BT3" t="e">
        <f>AND(List1!X23,"AAAAAF/Kfkc=")</f>
        <v>#VALUE!</v>
      </c>
      <c r="BU3" t="e">
        <f>AND(List1!Y23,"AAAAAF/Kfkg=")</f>
        <v>#VALUE!</v>
      </c>
      <c r="BV3" t="e">
        <f>AND(List1!Z23,"AAAAAF/Kfkk=")</f>
        <v>#VALUE!</v>
      </c>
      <c r="BW3" t="e">
        <f>AND(List1!AA23,"AAAAAF/Kfko=")</f>
        <v>#VALUE!</v>
      </c>
      <c r="BX3" t="e">
        <f>AND(List1!AB23,"AAAAAF/Kfks=")</f>
        <v>#VALUE!</v>
      </c>
      <c r="BY3">
        <f>IF(List1!24:24,"AAAAAF/Kfkw=",0)</f>
        <v>0</v>
      </c>
      <c r="BZ3" t="e">
        <f>AND(List1!B24,"AAAAAF/Kfk0=")</f>
        <v>#VALUE!</v>
      </c>
      <c r="CA3" t="e">
        <f>AND(List1!C24,"AAAAAF/Kfk4=")</f>
        <v>#VALUE!</v>
      </c>
      <c r="CB3" t="e">
        <f>AND(List1!D24,"AAAAAF/Kfk8=")</f>
        <v>#VALUE!</v>
      </c>
      <c r="CC3" t="e">
        <f>AND(List1!E24,"AAAAAF/KflA=")</f>
        <v>#VALUE!</v>
      </c>
      <c r="CD3" t="e">
        <f>AND(List1!F24,"AAAAAF/KflE=")</f>
        <v>#VALUE!</v>
      </c>
      <c r="CE3" t="e">
        <f>AND(List1!G24,"AAAAAF/KflI=")</f>
        <v>#VALUE!</v>
      </c>
      <c r="CF3" t="e">
        <f>AND(List1!H24,"AAAAAF/KflM=")</f>
        <v>#VALUE!</v>
      </c>
      <c r="CG3" t="e">
        <f>AND(List1!I24,"AAAAAF/KflQ=")</f>
        <v>#VALUE!</v>
      </c>
      <c r="CH3" t="e">
        <f>AND(List1!J24,"AAAAAF/KflU=")</f>
        <v>#VALUE!</v>
      </c>
      <c r="CI3" t="e">
        <f>AND(List1!K24,"AAAAAF/KflY=")</f>
        <v>#VALUE!</v>
      </c>
      <c r="CJ3" t="e">
        <f>AND(List1!L24,"AAAAAF/Kflc=")</f>
        <v>#VALUE!</v>
      </c>
      <c r="CK3" t="e">
        <f>AND(List1!M24,"AAAAAF/Kflg=")</f>
        <v>#VALUE!</v>
      </c>
      <c r="CL3" t="e">
        <f>AND(List1!N24,"AAAAAF/Kflk=")</f>
        <v>#VALUE!</v>
      </c>
      <c r="CM3" t="e">
        <f>AND(List1!O24,"AAAAAF/Kflo=")</f>
        <v>#VALUE!</v>
      </c>
      <c r="CN3" t="e">
        <f>AND(List1!P24,"AAAAAF/Kfls=")</f>
        <v>#VALUE!</v>
      </c>
      <c r="CO3" t="e">
        <f>AND(List1!Q24,"AAAAAF/Kflw=")</f>
        <v>#VALUE!</v>
      </c>
      <c r="CP3" t="e">
        <f>AND(List1!R24,"AAAAAF/Kfl0=")</f>
        <v>#VALUE!</v>
      </c>
      <c r="CQ3" t="e">
        <f>AND(List1!S24,"AAAAAF/Kfl4=")</f>
        <v>#VALUE!</v>
      </c>
      <c r="CR3" t="e">
        <f>AND(List1!T24,"AAAAAF/Kfl8=")</f>
        <v>#VALUE!</v>
      </c>
      <c r="CS3" t="e">
        <f>AND(List1!U24,"AAAAAF/KfmA=")</f>
        <v>#VALUE!</v>
      </c>
      <c r="CT3" t="e">
        <f>AND(List1!V24,"AAAAAF/KfmE=")</f>
        <v>#VALUE!</v>
      </c>
      <c r="CU3" t="e">
        <f>AND(List1!W24,"AAAAAF/KfmI=")</f>
        <v>#VALUE!</v>
      </c>
      <c r="CV3" t="e">
        <f>AND(List1!X24,"AAAAAF/KfmM=")</f>
        <v>#VALUE!</v>
      </c>
      <c r="CW3" t="e">
        <f>AND(List1!Y24,"AAAAAF/KfmQ=")</f>
        <v>#VALUE!</v>
      </c>
      <c r="CX3" t="e">
        <f>AND(List1!Z24,"AAAAAF/KfmU=")</f>
        <v>#VALUE!</v>
      </c>
      <c r="CY3" t="e">
        <f>AND(List1!AA24,"AAAAAF/KfmY=")</f>
        <v>#VALUE!</v>
      </c>
      <c r="CZ3" t="e">
        <f>AND(List1!AB24,"AAAAAF/Kfmc=")</f>
        <v>#VALUE!</v>
      </c>
      <c r="DA3">
        <f>IF(List1!25:25,"AAAAAF/Kfmg=",0)</f>
        <v>0</v>
      </c>
      <c r="DB3" t="e">
        <f>AND(List1!B25,"AAAAAF/Kfmk=")</f>
        <v>#VALUE!</v>
      </c>
      <c r="DC3" t="e">
        <f>AND(List1!C25,"AAAAAF/Kfmo=")</f>
        <v>#VALUE!</v>
      </c>
      <c r="DD3" t="e">
        <f>AND(List1!D25,"AAAAAF/Kfms=")</f>
        <v>#VALUE!</v>
      </c>
      <c r="DE3" t="e">
        <f>AND(List1!E25,"AAAAAF/Kfmw=")</f>
        <v>#VALUE!</v>
      </c>
      <c r="DF3" t="e">
        <f>AND(List1!F25,"AAAAAF/Kfm0=")</f>
        <v>#VALUE!</v>
      </c>
      <c r="DG3" t="e">
        <f>AND(List1!G25,"AAAAAF/Kfm4=")</f>
        <v>#VALUE!</v>
      </c>
      <c r="DH3" t="e">
        <f>AND(List1!H25,"AAAAAF/Kfm8=")</f>
        <v>#VALUE!</v>
      </c>
      <c r="DI3" t="e">
        <f>AND(List1!I25,"AAAAAF/KfnA=")</f>
        <v>#VALUE!</v>
      </c>
      <c r="DJ3" t="e">
        <f>AND(List1!J25,"AAAAAF/KfnE=")</f>
        <v>#VALUE!</v>
      </c>
      <c r="DK3" t="e">
        <f>AND(List1!K25,"AAAAAF/KfnI=")</f>
        <v>#VALUE!</v>
      </c>
      <c r="DL3" t="e">
        <f>AND(List1!L25,"AAAAAF/KfnM=")</f>
        <v>#VALUE!</v>
      </c>
      <c r="DM3" t="e">
        <f>AND(List1!M25,"AAAAAF/KfnQ=")</f>
        <v>#VALUE!</v>
      </c>
      <c r="DN3" t="e">
        <f>AND(List1!N25,"AAAAAF/KfnU=")</f>
        <v>#VALUE!</v>
      </c>
      <c r="DO3" t="e">
        <f>AND(List1!O25,"AAAAAF/KfnY=")</f>
        <v>#VALUE!</v>
      </c>
      <c r="DP3" t="e">
        <f>AND(List1!P25,"AAAAAF/Kfnc=")</f>
        <v>#VALUE!</v>
      </c>
      <c r="DQ3" t="e">
        <f>AND(List1!Q25,"AAAAAF/Kfng=")</f>
        <v>#VALUE!</v>
      </c>
      <c r="DR3" t="e">
        <f>AND(List1!R25,"AAAAAF/Kfnk=")</f>
        <v>#VALUE!</v>
      </c>
      <c r="DS3" t="e">
        <f>AND(List1!S25,"AAAAAF/Kfno=")</f>
        <v>#VALUE!</v>
      </c>
      <c r="DT3" t="e">
        <f>AND(List1!T25,"AAAAAF/Kfns=")</f>
        <v>#VALUE!</v>
      </c>
      <c r="DU3" t="e">
        <f>AND(List1!U25,"AAAAAF/Kfnw=")</f>
        <v>#VALUE!</v>
      </c>
      <c r="DV3" t="e">
        <f>AND(List1!V25,"AAAAAF/Kfn0=")</f>
        <v>#VALUE!</v>
      </c>
      <c r="DW3" t="e">
        <f>AND(List1!W25,"AAAAAF/Kfn4=")</f>
        <v>#VALUE!</v>
      </c>
      <c r="DX3" t="e">
        <f>AND(List1!X25,"AAAAAF/Kfn8=")</f>
        <v>#VALUE!</v>
      </c>
      <c r="DY3" t="e">
        <f>AND(List1!Y25,"AAAAAF/KfoA=")</f>
        <v>#VALUE!</v>
      </c>
      <c r="DZ3" t="e">
        <f>AND(List1!Z25,"AAAAAF/KfoE=")</f>
        <v>#VALUE!</v>
      </c>
      <c r="EA3" t="e">
        <f>AND(List1!AA25,"AAAAAF/KfoI=")</f>
        <v>#VALUE!</v>
      </c>
      <c r="EB3" t="e">
        <f>AND(List1!AB25,"AAAAAF/KfoM=")</f>
        <v>#VALUE!</v>
      </c>
      <c r="EC3">
        <f>IF(List1!26:26,"AAAAAF/KfoQ=",0)</f>
        <v>0</v>
      </c>
      <c r="ED3" t="e">
        <f>AND(List1!B26,"AAAAAF/KfoU=")</f>
        <v>#VALUE!</v>
      </c>
      <c r="EE3" t="e">
        <f>AND(List1!C26,"AAAAAF/KfoY=")</f>
        <v>#VALUE!</v>
      </c>
      <c r="EF3" t="e">
        <f>AND(List1!D26,"AAAAAF/Kfoc=")</f>
        <v>#VALUE!</v>
      </c>
      <c r="EG3" t="e">
        <f>AND(List1!E26,"AAAAAF/Kfog=")</f>
        <v>#VALUE!</v>
      </c>
      <c r="EH3" t="e">
        <f>AND(List1!F26,"AAAAAF/Kfok=")</f>
        <v>#VALUE!</v>
      </c>
      <c r="EI3" t="e">
        <f>AND(List1!G26,"AAAAAF/Kfoo=")</f>
        <v>#VALUE!</v>
      </c>
      <c r="EJ3" t="e">
        <f>AND(List1!H26,"AAAAAF/Kfos=")</f>
        <v>#VALUE!</v>
      </c>
      <c r="EK3" t="e">
        <f>AND(List1!I26,"AAAAAF/Kfow=")</f>
        <v>#VALUE!</v>
      </c>
      <c r="EL3" t="e">
        <f>AND(List1!J26,"AAAAAF/Kfo0=")</f>
        <v>#VALUE!</v>
      </c>
      <c r="EM3" t="e">
        <f>AND(List1!K26,"AAAAAF/Kfo4=")</f>
        <v>#VALUE!</v>
      </c>
      <c r="EN3" t="e">
        <f>AND(List1!L26,"AAAAAF/Kfo8=")</f>
        <v>#VALUE!</v>
      </c>
      <c r="EO3" t="e">
        <f>AND(List1!M26,"AAAAAF/KfpA=")</f>
        <v>#VALUE!</v>
      </c>
      <c r="EP3" t="e">
        <f>AND(List1!N26,"AAAAAF/KfpE=")</f>
        <v>#VALUE!</v>
      </c>
      <c r="EQ3" t="e">
        <f>AND(List1!O26,"AAAAAF/KfpI=")</f>
        <v>#VALUE!</v>
      </c>
      <c r="ER3" t="e">
        <f>AND(List1!P26,"AAAAAF/KfpM=")</f>
        <v>#VALUE!</v>
      </c>
      <c r="ES3" t="e">
        <f>AND(List1!Q26,"AAAAAF/KfpQ=")</f>
        <v>#VALUE!</v>
      </c>
      <c r="ET3" t="e">
        <f>AND(List1!R26,"AAAAAF/KfpU=")</f>
        <v>#VALUE!</v>
      </c>
      <c r="EU3" t="e">
        <f>AND(List1!S26,"AAAAAF/KfpY=")</f>
        <v>#VALUE!</v>
      </c>
      <c r="EV3" t="e">
        <f>AND(List1!T26,"AAAAAF/Kfpc=")</f>
        <v>#VALUE!</v>
      </c>
      <c r="EW3" t="e">
        <f>AND(List1!U26,"AAAAAF/Kfpg=")</f>
        <v>#VALUE!</v>
      </c>
      <c r="EX3" t="e">
        <f>AND(List1!V26,"AAAAAF/Kfpk=")</f>
        <v>#VALUE!</v>
      </c>
      <c r="EY3" t="e">
        <f>AND(List1!W26,"AAAAAF/Kfpo=")</f>
        <v>#VALUE!</v>
      </c>
      <c r="EZ3" t="e">
        <f>AND(List1!X26,"AAAAAF/Kfps=")</f>
        <v>#VALUE!</v>
      </c>
      <c r="FA3" t="e">
        <f>AND(List1!Y26,"AAAAAF/Kfpw=")</f>
        <v>#VALUE!</v>
      </c>
      <c r="FB3" t="e">
        <f>AND(List1!Z26,"AAAAAF/Kfp0=")</f>
        <v>#VALUE!</v>
      </c>
      <c r="FC3" t="e">
        <f>AND(List1!AA26,"AAAAAF/Kfp4=")</f>
        <v>#VALUE!</v>
      </c>
      <c r="FD3" t="e">
        <f>AND(List1!AB26,"AAAAAF/Kfp8=")</f>
        <v>#VALUE!</v>
      </c>
      <c r="FE3">
        <f>IF(List1!27:27,"AAAAAF/KfqA=",0)</f>
        <v>0</v>
      </c>
      <c r="FF3" t="e">
        <f>AND(List1!B27,"AAAAAF/KfqE=")</f>
        <v>#VALUE!</v>
      </c>
      <c r="FG3" t="e">
        <f>AND(List1!C27,"AAAAAF/KfqI=")</f>
        <v>#VALUE!</v>
      </c>
      <c r="FH3" t="e">
        <f>AND(List1!D27,"AAAAAF/KfqM=")</f>
        <v>#VALUE!</v>
      </c>
      <c r="FI3" t="e">
        <f>AND(List1!E27,"AAAAAF/KfqQ=")</f>
        <v>#VALUE!</v>
      </c>
      <c r="FJ3" t="e">
        <f>AND(List1!F27,"AAAAAF/KfqU=")</f>
        <v>#VALUE!</v>
      </c>
      <c r="FK3" t="e">
        <f>AND(List1!G27,"AAAAAF/KfqY=")</f>
        <v>#VALUE!</v>
      </c>
      <c r="FL3" t="e">
        <f>AND(List1!H27,"AAAAAF/Kfqc=")</f>
        <v>#VALUE!</v>
      </c>
      <c r="FM3" t="e">
        <f>AND(List1!I27,"AAAAAF/Kfqg=")</f>
        <v>#VALUE!</v>
      </c>
      <c r="FN3" t="e">
        <f>AND(List1!J27,"AAAAAF/Kfqk=")</f>
        <v>#VALUE!</v>
      </c>
      <c r="FO3" t="e">
        <f>AND(List1!K27,"AAAAAF/Kfqo=")</f>
        <v>#VALUE!</v>
      </c>
      <c r="FP3" t="e">
        <f>AND(List1!L27,"AAAAAF/Kfqs=")</f>
        <v>#VALUE!</v>
      </c>
      <c r="FQ3" t="e">
        <f>AND(List1!M27,"AAAAAF/Kfqw=")</f>
        <v>#VALUE!</v>
      </c>
      <c r="FR3" t="e">
        <f>AND(List1!N27,"AAAAAF/Kfq0=")</f>
        <v>#VALUE!</v>
      </c>
      <c r="FS3" t="e">
        <f>AND(List1!O27,"AAAAAF/Kfq4=")</f>
        <v>#VALUE!</v>
      </c>
      <c r="FT3" t="e">
        <f>AND(List1!P27,"AAAAAF/Kfq8=")</f>
        <v>#VALUE!</v>
      </c>
      <c r="FU3" t="e">
        <f>AND(List1!Q27,"AAAAAF/KfrA=")</f>
        <v>#VALUE!</v>
      </c>
      <c r="FV3" t="e">
        <f>AND(List1!R27,"AAAAAF/KfrE=")</f>
        <v>#VALUE!</v>
      </c>
      <c r="FW3" t="e">
        <f>AND(List1!S27,"AAAAAF/KfrI=")</f>
        <v>#VALUE!</v>
      </c>
      <c r="FX3" t="e">
        <f>AND(List1!T27,"AAAAAF/KfrM=")</f>
        <v>#VALUE!</v>
      </c>
      <c r="FY3" t="e">
        <f>AND(List1!U27,"AAAAAF/KfrQ=")</f>
        <v>#VALUE!</v>
      </c>
      <c r="FZ3" t="e">
        <f>AND(List1!V27,"AAAAAF/KfrU=")</f>
        <v>#VALUE!</v>
      </c>
      <c r="GA3" t="e">
        <f>AND(List1!W27,"AAAAAF/KfrY=")</f>
        <v>#VALUE!</v>
      </c>
      <c r="GB3" t="e">
        <f>AND(List1!X27,"AAAAAF/Kfrc=")</f>
        <v>#VALUE!</v>
      </c>
      <c r="GC3" t="e">
        <f>AND(List1!Y27,"AAAAAF/Kfrg=")</f>
        <v>#VALUE!</v>
      </c>
      <c r="GD3" t="e">
        <f>AND(List1!Z27,"AAAAAF/Kfrk=")</f>
        <v>#VALUE!</v>
      </c>
      <c r="GE3" t="e">
        <f>AND(List1!AA27,"AAAAAF/Kfro=")</f>
        <v>#VALUE!</v>
      </c>
      <c r="GF3" t="e">
        <f>AND(List1!AB27,"AAAAAF/Kfrs=")</f>
        <v>#VALUE!</v>
      </c>
      <c r="GG3">
        <f>IF(List1!28:28,"AAAAAF/Kfrw=",0)</f>
        <v>0</v>
      </c>
      <c r="GH3" t="e">
        <f>AND(List1!B28,"AAAAAF/Kfr0=")</f>
        <v>#VALUE!</v>
      </c>
      <c r="GI3" t="e">
        <f>AND(List1!C28,"AAAAAF/Kfr4=")</f>
        <v>#VALUE!</v>
      </c>
      <c r="GJ3" t="e">
        <f>AND(List1!D28,"AAAAAF/Kfr8=")</f>
        <v>#VALUE!</v>
      </c>
      <c r="GK3" t="e">
        <f>AND(List1!E28,"AAAAAF/KfsA=")</f>
        <v>#VALUE!</v>
      </c>
      <c r="GL3" t="e">
        <f>AND(List1!F28,"AAAAAF/KfsE=")</f>
        <v>#VALUE!</v>
      </c>
      <c r="GM3" t="e">
        <f>AND(List1!G28,"AAAAAF/KfsI=")</f>
        <v>#VALUE!</v>
      </c>
      <c r="GN3" t="e">
        <f>AND(List1!H28,"AAAAAF/KfsM=")</f>
        <v>#VALUE!</v>
      </c>
      <c r="GO3" t="e">
        <f>AND(List1!I28,"AAAAAF/KfsQ=")</f>
        <v>#VALUE!</v>
      </c>
      <c r="GP3" t="e">
        <f>AND(List1!J28,"AAAAAF/KfsU=")</f>
        <v>#VALUE!</v>
      </c>
      <c r="GQ3" t="e">
        <f>AND(List1!K28,"AAAAAF/KfsY=")</f>
        <v>#VALUE!</v>
      </c>
      <c r="GR3" t="e">
        <f>AND(List1!L28,"AAAAAF/Kfsc=")</f>
        <v>#VALUE!</v>
      </c>
      <c r="GS3" t="e">
        <f>AND(List1!M28,"AAAAAF/Kfsg=")</f>
        <v>#VALUE!</v>
      </c>
      <c r="GT3" t="e">
        <f>AND(List1!N28,"AAAAAF/Kfsk=")</f>
        <v>#VALUE!</v>
      </c>
      <c r="GU3" t="e">
        <f>AND(List1!O28,"AAAAAF/Kfso=")</f>
        <v>#VALUE!</v>
      </c>
      <c r="GV3" t="e">
        <f>AND(List1!P28,"AAAAAF/Kfss=")</f>
        <v>#VALUE!</v>
      </c>
      <c r="GW3" t="e">
        <f>AND(List1!Q28,"AAAAAF/Kfsw=")</f>
        <v>#VALUE!</v>
      </c>
      <c r="GX3" t="e">
        <f>AND(List1!R28,"AAAAAF/Kfs0=")</f>
        <v>#VALUE!</v>
      </c>
      <c r="GY3" t="e">
        <f>AND(List1!S28,"AAAAAF/Kfs4=")</f>
        <v>#VALUE!</v>
      </c>
      <c r="GZ3" t="e">
        <f>AND(List1!T28,"AAAAAF/Kfs8=")</f>
        <v>#VALUE!</v>
      </c>
      <c r="HA3" t="e">
        <f>AND(List1!U28,"AAAAAF/KftA=")</f>
        <v>#VALUE!</v>
      </c>
      <c r="HB3" t="e">
        <f>AND(List1!V28,"AAAAAF/KftE=")</f>
        <v>#VALUE!</v>
      </c>
      <c r="HC3" t="e">
        <f>AND(List1!W28,"AAAAAF/KftI=")</f>
        <v>#VALUE!</v>
      </c>
      <c r="HD3" t="e">
        <f>AND(List1!X28,"AAAAAF/KftM=")</f>
        <v>#VALUE!</v>
      </c>
      <c r="HE3" t="e">
        <f>AND(List1!Y28,"AAAAAF/KftQ=")</f>
        <v>#VALUE!</v>
      </c>
      <c r="HF3" t="e">
        <f>AND(List1!Z28,"AAAAAF/KftU=")</f>
        <v>#VALUE!</v>
      </c>
      <c r="HG3" t="e">
        <f>AND(List1!AA28,"AAAAAF/KftY=")</f>
        <v>#VALUE!</v>
      </c>
      <c r="HH3" t="e">
        <f>AND(List1!AB28,"AAAAAF/Kftc=")</f>
        <v>#VALUE!</v>
      </c>
      <c r="HI3">
        <f>IF(List1!29:29,"AAAAAF/Kftg=",0)</f>
        <v>0</v>
      </c>
      <c r="HJ3" t="e">
        <f>AND(List1!B29,"AAAAAF/Kftk=")</f>
        <v>#VALUE!</v>
      </c>
      <c r="HK3" t="e">
        <f>AND(List1!C29,"AAAAAF/Kfto=")</f>
        <v>#VALUE!</v>
      </c>
      <c r="HL3" t="e">
        <f>AND(List1!D29,"AAAAAF/Kfts=")</f>
        <v>#VALUE!</v>
      </c>
      <c r="HM3" t="e">
        <f>AND(List1!E29,"AAAAAF/Kftw=")</f>
        <v>#VALUE!</v>
      </c>
      <c r="HN3" t="e">
        <f>AND(List1!F29,"AAAAAF/Kft0=")</f>
        <v>#VALUE!</v>
      </c>
      <c r="HO3" t="e">
        <f>AND(List1!G29,"AAAAAF/Kft4=")</f>
        <v>#VALUE!</v>
      </c>
      <c r="HP3" t="e">
        <f>AND(List1!H29,"AAAAAF/Kft8=")</f>
        <v>#VALUE!</v>
      </c>
      <c r="HQ3" t="e">
        <f>AND(List1!I29,"AAAAAF/KfuA=")</f>
        <v>#VALUE!</v>
      </c>
      <c r="HR3" t="e">
        <f>AND(List1!J29,"AAAAAF/KfuE=")</f>
        <v>#VALUE!</v>
      </c>
      <c r="HS3" t="e">
        <f>AND(List1!K29,"AAAAAF/KfuI=")</f>
        <v>#VALUE!</v>
      </c>
      <c r="HT3" t="e">
        <f>AND(List1!L29,"AAAAAF/KfuM=")</f>
        <v>#VALUE!</v>
      </c>
      <c r="HU3" t="e">
        <f>AND(List1!M29,"AAAAAF/KfuQ=")</f>
        <v>#VALUE!</v>
      </c>
      <c r="HV3" t="e">
        <f>AND(List1!N29,"AAAAAF/KfuU=")</f>
        <v>#VALUE!</v>
      </c>
      <c r="HW3" t="e">
        <f>AND(List1!O29,"AAAAAF/KfuY=")</f>
        <v>#VALUE!</v>
      </c>
      <c r="HX3" t="e">
        <f>AND(List1!P29,"AAAAAF/Kfuc=")</f>
        <v>#VALUE!</v>
      </c>
      <c r="HY3" t="e">
        <f>AND(List1!Q29,"AAAAAF/Kfug=")</f>
        <v>#VALUE!</v>
      </c>
      <c r="HZ3" t="e">
        <f>AND(List1!R29,"AAAAAF/Kfuk=")</f>
        <v>#VALUE!</v>
      </c>
      <c r="IA3" t="e">
        <f>AND(List1!S29,"AAAAAF/Kfuo=")</f>
        <v>#VALUE!</v>
      </c>
      <c r="IB3" t="e">
        <f>AND(List1!T29,"AAAAAF/Kfus=")</f>
        <v>#VALUE!</v>
      </c>
      <c r="IC3" t="e">
        <f>AND(List1!U29,"AAAAAF/Kfuw=")</f>
        <v>#VALUE!</v>
      </c>
      <c r="ID3" t="e">
        <f>AND(List1!V29,"AAAAAF/Kfu0=")</f>
        <v>#VALUE!</v>
      </c>
      <c r="IE3" t="e">
        <f>AND(List1!W29,"AAAAAF/Kfu4=")</f>
        <v>#VALUE!</v>
      </c>
      <c r="IF3" t="e">
        <f>AND(List1!X29,"AAAAAF/Kfu8=")</f>
        <v>#VALUE!</v>
      </c>
      <c r="IG3" t="e">
        <f>AND(List1!Y29,"AAAAAF/KfvA=")</f>
        <v>#VALUE!</v>
      </c>
      <c r="IH3" t="e">
        <f>AND(List1!Z29,"AAAAAF/KfvE=")</f>
        <v>#VALUE!</v>
      </c>
      <c r="II3" t="e">
        <f>AND(List1!AA29,"AAAAAF/KfvI=")</f>
        <v>#VALUE!</v>
      </c>
      <c r="IJ3" t="e">
        <f>AND(List1!AB29,"AAAAAF/KfvM=")</f>
        <v>#VALUE!</v>
      </c>
      <c r="IK3">
        <f>IF(List1!30:30,"AAAAAF/KfvQ=",0)</f>
        <v>0</v>
      </c>
      <c r="IL3" t="e">
        <f>AND(List1!B30,"AAAAAF/KfvU=")</f>
        <v>#VALUE!</v>
      </c>
      <c r="IM3" t="e">
        <f>AND(List1!C30,"AAAAAF/KfvY=")</f>
        <v>#VALUE!</v>
      </c>
      <c r="IN3" t="e">
        <f>AND(List1!D30,"AAAAAF/Kfvc=")</f>
        <v>#VALUE!</v>
      </c>
      <c r="IO3" t="e">
        <f>AND(List1!E30,"AAAAAF/Kfvg=")</f>
        <v>#VALUE!</v>
      </c>
      <c r="IP3" t="e">
        <f>AND(List1!F30,"AAAAAF/Kfvk=")</f>
        <v>#VALUE!</v>
      </c>
      <c r="IQ3" t="e">
        <f>AND(List1!G30,"AAAAAF/Kfvo=")</f>
        <v>#VALUE!</v>
      </c>
      <c r="IR3" t="e">
        <f>AND(List1!H30,"AAAAAF/Kfvs=")</f>
        <v>#VALUE!</v>
      </c>
      <c r="IS3" t="e">
        <f>AND(List1!I30,"AAAAAF/Kfvw=")</f>
        <v>#VALUE!</v>
      </c>
      <c r="IT3" t="e">
        <f>AND(List1!J30,"AAAAAF/Kfv0=")</f>
        <v>#VALUE!</v>
      </c>
      <c r="IU3" t="e">
        <f>AND(List1!K30,"AAAAAF/Kfv4=")</f>
        <v>#VALUE!</v>
      </c>
      <c r="IV3" t="e">
        <f>AND(List1!L30,"AAAAAF/Kfv8=")</f>
        <v>#VALUE!</v>
      </c>
    </row>
    <row r="4" spans="1:256" x14ac:dyDescent="0.25">
      <c r="A4" t="e">
        <f>AND(List1!M30,"AAAAAGtt9wA=")</f>
        <v>#VALUE!</v>
      </c>
      <c r="B4" t="e">
        <f>AND(List1!N30,"AAAAAGtt9wE=")</f>
        <v>#VALUE!</v>
      </c>
      <c r="C4" t="e">
        <f>AND(List1!O30,"AAAAAGtt9wI=")</f>
        <v>#VALUE!</v>
      </c>
      <c r="D4" t="e">
        <f>AND(List1!P30,"AAAAAGtt9wM=")</f>
        <v>#VALUE!</v>
      </c>
      <c r="E4" t="e">
        <f>AND(List1!Q30,"AAAAAGtt9wQ=")</f>
        <v>#VALUE!</v>
      </c>
      <c r="F4" t="e">
        <f>AND(List1!R30,"AAAAAGtt9wU=")</f>
        <v>#VALUE!</v>
      </c>
      <c r="G4" t="e">
        <f>AND(List1!S30,"AAAAAGtt9wY=")</f>
        <v>#VALUE!</v>
      </c>
      <c r="H4" t="e">
        <f>AND(List1!T30,"AAAAAGtt9wc=")</f>
        <v>#VALUE!</v>
      </c>
      <c r="I4" t="e">
        <f>AND(List1!U30,"AAAAAGtt9wg=")</f>
        <v>#VALUE!</v>
      </c>
      <c r="J4" t="e">
        <f>AND(List1!V30,"AAAAAGtt9wk=")</f>
        <v>#VALUE!</v>
      </c>
      <c r="K4" t="e">
        <f>AND(List1!W30,"AAAAAGtt9wo=")</f>
        <v>#VALUE!</v>
      </c>
      <c r="L4" t="e">
        <f>AND(List1!X30,"AAAAAGtt9ws=")</f>
        <v>#VALUE!</v>
      </c>
      <c r="M4" t="e">
        <f>AND(List1!Y30,"AAAAAGtt9ww=")</f>
        <v>#VALUE!</v>
      </c>
      <c r="N4" t="e">
        <f>AND(List1!Z30,"AAAAAGtt9w0=")</f>
        <v>#VALUE!</v>
      </c>
      <c r="O4" t="e">
        <f>AND(List1!AA30,"AAAAAGtt9w4=")</f>
        <v>#VALUE!</v>
      </c>
      <c r="P4" t="e">
        <f>AND(List1!AB30,"AAAAAGtt9w8=")</f>
        <v>#VALUE!</v>
      </c>
      <c r="Q4">
        <f>IF(List1!31:31,"AAAAAGtt9xA=",0)</f>
        <v>0</v>
      </c>
      <c r="R4" t="b">
        <f>AND(List1!B31,"AAAAAGtt9xE=")</f>
        <v>1</v>
      </c>
      <c r="S4" t="e">
        <f>AND(List1!C31,"AAAAAGtt9xI=")</f>
        <v>#VALUE!</v>
      </c>
      <c r="T4" t="e">
        <f>AND(List1!D31,"AAAAAGtt9xM=")</f>
        <v>#VALUE!</v>
      </c>
      <c r="U4" t="e">
        <f>AND(List1!E31,"AAAAAGtt9xQ=")</f>
        <v>#VALUE!</v>
      </c>
      <c r="V4" t="e">
        <f>AND(List1!F31,"AAAAAGtt9xU=")</f>
        <v>#VALUE!</v>
      </c>
      <c r="W4" t="e">
        <f>AND(List1!G31,"AAAAAGtt9xY=")</f>
        <v>#VALUE!</v>
      </c>
      <c r="X4" t="e">
        <f>AND(List1!H31,"AAAAAGtt9xc=")</f>
        <v>#VALUE!</v>
      </c>
      <c r="Y4" t="e">
        <f>AND(List1!I31,"AAAAAGtt9xg=")</f>
        <v>#VALUE!</v>
      </c>
      <c r="Z4" t="e">
        <f>AND(List1!J31,"AAAAAGtt9xk=")</f>
        <v>#VALUE!</v>
      </c>
      <c r="AA4" t="e">
        <f>AND(List1!K31,"AAAAAGtt9xo=")</f>
        <v>#VALUE!</v>
      </c>
      <c r="AB4" t="e">
        <f>AND(List1!L31,"AAAAAGtt9xs=")</f>
        <v>#VALUE!</v>
      </c>
      <c r="AC4" t="e">
        <f>AND(List1!M31,"AAAAAGtt9xw=")</f>
        <v>#VALUE!</v>
      </c>
      <c r="AD4" t="e">
        <f>AND(List1!N31,"AAAAAGtt9x0=")</f>
        <v>#VALUE!</v>
      </c>
      <c r="AE4" t="e">
        <f>AND(List1!O31,"AAAAAGtt9x4=")</f>
        <v>#VALUE!</v>
      </c>
      <c r="AF4" t="e">
        <f>AND(List1!P31,"AAAAAGtt9x8=")</f>
        <v>#VALUE!</v>
      </c>
      <c r="AG4" t="e">
        <f>AND(List1!Q31,"AAAAAGtt9yA=")</f>
        <v>#VALUE!</v>
      </c>
      <c r="AH4" t="e">
        <f>AND(List1!R31,"AAAAAGtt9yE=")</f>
        <v>#VALUE!</v>
      </c>
      <c r="AI4" t="e">
        <f>AND(List1!S31,"AAAAAGtt9yI=")</f>
        <v>#VALUE!</v>
      </c>
      <c r="AJ4" t="e">
        <f>AND(List1!T31,"AAAAAGtt9yM=")</f>
        <v>#VALUE!</v>
      </c>
      <c r="AK4" t="e">
        <f>AND(List1!U31,"AAAAAGtt9yQ=")</f>
        <v>#VALUE!</v>
      </c>
      <c r="AL4" t="e">
        <f>AND(List1!V31,"AAAAAGtt9yU=")</f>
        <v>#VALUE!</v>
      </c>
      <c r="AM4" t="e">
        <f>AND(List1!W31,"AAAAAGtt9yY=")</f>
        <v>#VALUE!</v>
      </c>
      <c r="AN4" t="e">
        <f>AND(List1!X31,"AAAAAGtt9yc=")</f>
        <v>#VALUE!</v>
      </c>
      <c r="AO4" t="e">
        <f>AND(List1!Y31,"AAAAAGtt9yg=")</f>
        <v>#VALUE!</v>
      </c>
      <c r="AP4" t="e">
        <f>AND(List1!Z31,"AAAAAGtt9yk=")</f>
        <v>#VALUE!</v>
      </c>
      <c r="AQ4" t="e">
        <f>AND(List1!AA31,"AAAAAGtt9yo=")</f>
        <v>#VALUE!</v>
      </c>
      <c r="AR4" t="e">
        <f>AND(List1!AB31,"AAAAAGtt9ys=")</f>
        <v>#VALUE!</v>
      </c>
      <c r="AS4">
        <f>IF(List1!32:32,"AAAAAGtt9yw=",0)</f>
        <v>0</v>
      </c>
      <c r="AT4" t="b">
        <f>AND(List1!B32,"AAAAAGtt9y0=")</f>
        <v>1</v>
      </c>
      <c r="AU4" t="e">
        <f>AND(List1!C32,"AAAAAGtt9y4=")</f>
        <v>#VALUE!</v>
      </c>
      <c r="AV4" t="e">
        <f>AND(List1!D32,"AAAAAGtt9y8=")</f>
        <v>#VALUE!</v>
      </c>
      <c r="AW4" t="e">
        <f>AND(List1!E32,"AAAAAGtt9zA=")</f>
        <v>#VALUE!</v>
      </c>
      <c r="AX4" t="e">
        <f>AND(List1!F32,"AAAAAGtt9zE=")</f>
        <v>#VALUE!</v>
      </c>
      <c r="AY4" t="e">
        <f>AND(List1!G32,"AAAAAGtt9zI=")</f>
        <v>#VALUE!</v>
      </c>
      <c r="AZ4" t="e">
        <f>AND(List1!H32,"AAAAAGtt9zM=")</f>
        <v>#VALUE!</v>
      </c>
      <c r="BA4" t="e">
        <f>AND(List1!I32,"AAAAAGtt9zQ=")</f>
        <v>#VALUE!</v>
      </c>
      <c r="BB4" t="e">
        <f>AND(List1!J32,"AAAAAGtt9zU=")</f>
        <v>#VALUE!</v>
      </c>
      <c r="BC4" t="e">
        <f>AND(List1!K32,"AAAAAGtt9zY=")</f>
        <v>#VALUE!</v>
      </c>
      <c r="BD4" t="e">
        <f>AND(List1!L32,"AAAAAGtt9zc=")</f>
        <v>#VALUE!</v>
      </c>
      <c r="BE4" t="e">
        <f>AND(List1!M32,"AAAAAGtt9zg=")</f>
        <v>#VALUE!</v>
      </c>
      <c r="BF4" t="e">
        <f>AND(List1!N32,"AAAAAGtt9zk=")</f>
        <v>#VALUE!</v>
      </c>
      <c r="BG4" t="e">
        <f>AND(List1!O32,"AAAAAGtt9zo=")</f>
        <v>#VALUE!</v>
      </c>
      <c r="BH4" t="e">
        <f>AND(List1!P32,"AAAAAGtt9zs=")</f>
        <v>#VALUE!</v>
      </c>
      <c r="BI4" t="e">
        <f>AND(List1!Q32,"AAAAAGtt9zw=")</f>
        <v>#VALUE!</v>
      </c>
      <c r="BJ4" t="e">
        <f>AND(List1!R32,"AAAAAGtt9z0=")</f>
        <v>#VALUE!</v>
      </c>
      <c r="BK4" t="e">
        <f>AND(List1!S32,"AAAAAGtt9z4=")</f>
        <v>#VALUE!</v>
      </c>
      <c r="BL4" t="e">
        <f>AND(List1!T32,"AAAAAGtt9z8=")</f>
        <v>#VALUE!</v>
      </c>
      <c r="BM4" t="e">
        <f>AND(List1!U32,"AAAAAGtt90A=")</f>
        <v>#VALUE!</v>
      </c>
      <c r="BN4" t="e">
        <f>AND(List1!V32,"AAAAAGtt90E=")</f>
        <v>#VALUE!</v>
      </c>
      <c r="BO4" t="e">
        <f>AND(List1!W32,"AAAAAGtt90I=")</f>
        <v>#VALUE!</v>
      </c>
      <c r="BP4" t="e">
        <f>AND(List1!X32,"AAAAAGtt90M=")</f>
        <v>#VALUE!</v>
      </c>
      <c r="BQ4" t="e">
        <f>AND(List1!Y32,"AAAAAGtt90Q=")</f>
        <v>#VALUE!</v>
      </c>
      <c r="BR4" t="e">
        <f>AND(List1!Z32,"AAAAAGtt90U=")</f>
        <v>#VALUE!</v>
      </c>
      <c r="BS4" t="e">
        <f>AND(List1!AA32,"AAAAAGtt90Y=")</f>
        <v>#VALUE!</v>
      </c>
      <c r="BT4" t="e">
        <f>AND(List1!AB32,"AAAAAGtt90c=")</f>
        <v>#VALUE!</v>
      </c>
      <c r="BU4">
        <f>IF(List1!33:33,"AAAAAGtt90g=",0)</f>
        <v>0</v>
      </c>
      <c r="BV4" t="b">
        <f>AND(List1!B33,"AAAAAGtt90k=")</f>
        <v>1</v>
      </c>
      <c r="BW4" t="e">
        <f>AND(List1!C33,"AAAAAGtt90o=")</f>
        <v>#VALUE!</v>
      </c>
      <c r="BX4" t="e">
        <f>AND(List1!D33,"AAAAAGtt90s=")</f>
        <v>#VALUE!</v>
      </c>
      <c r="BY4" t="e">
        <f>AND(List1!E33,"AAAAAGtt90w=")</f>
        <v>#VALUE!</v>
      </c>
      <c r="BZ4" t="e">
        <f>AND(List1!F33,"AAAAAGtt900=")</f>
        <v>#VALUE!</v>
      </c>
      <c r="CA4" t="e">
        <f>AND(List1!G33,"AAAAAGtt904=")</f>
        <v>#VALUE!</v>
      </c>
      <c r="CB4" t="e">
        <f>AND(List1!H33,"AAAAAGtt908=")</f>
        <v>#VALUE!</v>
      </c>
      <c r="CC4" t="e">
        <f>AND(List1!I33,"AAAAAGtt91A=")</f>
        <v>#VALUE!</v>
      </c>
      <c r="CD4" t="e">
        <f>AND(List1!J33,"AAAAAGtt91E=")</f>
        <v>#VALUE!</v>
      </c>
      <c r="CE4" t="e">
        <f>AND(List1!K33,"AAAAAGtt91I=")</f>
        <v>#VALUE!</v>
      </c>
      <c r="CF4" t="e">
        <f>AND(List1!L33,"AAAAAGtt91M=")</f>
        <v>#VALUE!</v>
      </c>
      <c r="CG4" t="e">
        <f>AND(List1!M33,"AAAAAGtt91Q=")</f>
        <v>#VALUE!</v>
      </c>
      <c r="CH4" t="e">
        <f>AND(List1!N33,"AAAAAGtt91U=")</f>
        <v>#VALUE!</v>
      </c>
      <c r="CI4" t="e">
        <f>AND(List1!O33,"AAAAAGtt91Y=")</f>
        <v>#VALUE!</v>
      </c>
      <c r="CJ4" t="e">
        <f>AND(List1!P33,"AAAAAGtt91c=")</f>
        <v>#VALUE!</v>
      </c>
      <c r="CK4" t="e">
        <f>AND(List1!Q33,"AAAAAGtt91g=")</f>
        <v>#VALUE!</v>
      </c>
      <c r="CL4" t="e">
        <f>AND(List1!R33,"AAAAAGtt91k=")</f>
        <v>#VALUE!</v>
      </c>
      <c r="CM4" t="e">
        <f>AND(List1!S33,"AAAAAGtt91o=")</f>
        <v>#VALUE!</v>
      </c>
      <c r="CN4" t="e">
        <f>AND(List1!T33,"AAAAAGtt91s=")</f>
        <v>#VALUE!</v>
      </c>
      <c r="CO4" t="e">
        <f>AND(List1!U33,"AAAAAGtt91w=")</f>
        <v>#VALUE!</v>
      </c>
      <c r="CP4" t="e">
        <f>AND(List1!V33,"AAAAAGtt910=")</f>
        <v>#VALUE!</v>
      </c>
      <c r="CQ4" t="e">
        <f>AND(List1!W33,"AAAAAGtt914=")</f>
        <v>#VALUE!</v>
      </c>
      <c r="CR4" t="e">
        <f>AND(List1!X33,"AAAAAGtt918=")</f>
        <v>#VALUE!</v>
      </c>
      <c r="CS4" t="e">
        <f>AND(List1!Y33,"AAAAAGtt92A=")</f>
        <v>#VALUE!</v>
      </c>
      <c r="CT4" t="e">
        <f>AND(List1!Z33,"AAAAAGtt92E=")</f>
        <v>#VALUE!</v>
      </c>
      <c r="CU4" t="e">
        <f>AND(List1!AA33,"AAAAAGtt92I=")</f>
        <v>#VALUE!</v>
      </c>
      <c r="CV4" t="e">
        <f>AND(List1!AB33,"AAAAAGtt92M=")</f>
        <v>#VALUE!</v>
      </c>
      <c r="CW4">
        <f>IF(List1!34:34,"AAAAAGtt92Q=",0)</f>
        <v>0</v>
      </c>
      <c r="CX4" t="b">
        <f>AND(List1!B34,"AAAAAGtt92U=")</f>
        <v>1</v>
      </c>
      <c r="CY4" t="e">
        <f>AND(List1!C34,"AAAAAGtt92Y=")</f>
        <v>#VALUE!</v>
      </c>
      <c r="CZ4" t="e">
        <f>AND(List1!D34,"AAAAAGtt92c=")</f>
        <v>#VALUE!</v>
      </c>
      <c r="DA4" t="e">
        <f>AND(List1!E34,"AAAAAGtt92g=")</f>
        <v>#VALUE!</v>
      </c>
      <c r="DB4" t="e">
        <f>AND(List1!F34,"AAAAAGtt92k=")</f>
        <v>#VALUE!</v>
      </c>
      <c r="DC4" t="e">
        <f>AND(List1!G34,"AAAAAGtt92o=")</f>
        <v>#VALUE!</v>
      </c>
      <c r="DD4" t="e">
        <f>AND(List1!H34,"AAAAAGtt92s=")</f>
        <v>#VALUE!</v>
      </c>
      <c r="DE4" t="e">
        <f>AND(List1!I34,"AAAAAGtt92w=")</f>
        <v>#VALUE!</v>
      </c>
      <c r="DF4" t="e">
        <f>AND(List1!J34,"AAAAAGtt920=")</f>
        <v>#VALUE!</v>
      </c>
      <c r="DG4" t="e">
        <f>AND(List1!K34,"AAAAAGtt924=")</f>
        <v>#VALUE!</v>
      </c>
      <c r="DH4" t="e">
        <f>AND(List1!L34,"AAAAAGtt928=")</f>
        <v>#VALUE!</v>
      </c>
      <c r="DI4" t="e">
        <f>AND(List1!M34,"AAAAAGtt93A=")</f>
        <v>#VALUE!</v>
      </c>
      <c r="DJ4" t="e">
        <f>AND(List1!N34,"AAAAAGtt93E=")</f>
        <v>#VALUE!</v>
      </c>
      <c r="DK4" t="e">
        <f>AND(List1!O34,"AAAAAGtt93I=")</f>
        <v>#VALUE!</v>
      </c>
      <c r="DL4" t="e">
        <f>AND(List1!P34,"AAAAAGtt93M=")</f>
        <v>#VALUE!</v>
      </c>
      <c r="DM4" t="e">
        <f>AND(List1!Q34,"AAAAAGtt93Q=")</f>
        <v>#VALUE!</v>
      </c>
      <c r="DN4" t="e">
        <f>AND(List1!R34,"AAAAAGtt93U=")</f>
        <v>#VALUE!</v>
      </c>
      <c r="DO4" t="e">
        <f>AND(List1!S34,"AAAAAGtt93Y=")</f>
        <v>#VALUE!</v>
      </c>
      <c r="DP4" t="e">
        <f>AND(List1!T34,"AAAAAGtt93c=")</f>
        <v>#VALUE!</v>
      </c>
      <c r="DQ4" t="e">
        <f>AND(List1!U34,"AAAAAGtt93g=")</f>
        <v>#VALUE!</v>
      </c>
      <c r="DR4" t="e">
        <f>AND(List1!V34,"AAAAAGtt93k=")</f>
        <v>#VALUE!</v>
      </c>
      <c r="DS4" t="e">
        <f>AND(List1!W34,"AAAAAGtt93o=")</f>
        <v>#VALUE!</v>
      </c>
      <c r="DT4" t="e">
        <f>AND(List1!X34,"AAAAAGtt93s=")</f>
        <v>#VALUE!</v>
      </c>
      <c r="DU4" t="e">
        <f>AND(List1!Y34,"AAAAAGtt93w=")</f>
        <v>#VALUE!</v>
      </c>
      <c r="DV4" t="e">
        <f>AND(List1!Z34,"AAAAAGtt930=")</f>
        <v>#VALUE!</v>
      </c>
      <c r="DW4" t="e">
        <f>AND(List1!AA34,"AAAAAGtt934=")</f>
        <v>#VALUE!</v>
      </c>
      <c r="DX4" t="e">
        <f>AND(List1!AB34,"AAAAAGtt938=")</f>
        <v>#VALUE!</v>
      </c>
      <c r="DY4">
        <f>IF(List1!35:35,"AAAAAGtt94A=",0)</f>
        <v>0</v>
      </c>
      <c r="DZ4" t="b">
        <f>AND(List1!B35,"AAAAAGtt94E=")</f>
        <v>1</v>
      </c>
      <c r="EA4" t="e">
        <f>AND(List1!C35,"AAAAAGtt94I=")</f>
        <v>#VALUE!</v>
      </c>
      <c r="EB4" t="e">
        <f>AND(List1!D35,"AAAAAGtt94M=")</f>
        <v>#VALUE!</v>
      </c>
      <c r="EC4" t="e">
        <f>AND(List1!E35,"AAAAAGtt94Q=")</f>
        <v>#VALUE!</v>
      </c>
      <c r="ED4" t="e">
        <f>AND(List1!F35,"AAAAAGtt94U=")</f>
        <v>#VALUE!</v>
      </c>
      <c r="EE4" t="e">
        <f>AND(List1!G35,"AAAAAGtt94Y=")</f>
        <v>#VALUE!</v>
      </c>
      <c r="EF4" t="e">
        <f>AND(List1!H35,"AAAAAGtt94c=")</f>
        <v>#VALUE!</v>
      </c>
      <c r="EG4" t="e">
        <f>AND(List1!I35,"AAAAAGtt94g=")</f>
        <v>#VALUE!</v>
      </c>
      <c r="EH4" t="e">
        <f>AND(List1!J35,"AAAAAGtt94k=")</f>
        <v>#VALUE!</v>
      </c>
      <c r="EI4" t="e">
        <f>AND(List1!K35,"AAAAAGtt94o=")</f>
        <v>#VALUE!</v>
      </c>
      <c r="EJ4" t="e">
        <f>AND(List1!L35,"AAAAAGtt94s=")</f>
        <v>#VALUE!</v>
      </c>
      <c r="EK4" t="e">
        <f>AND(List1!M35,"AAAAAGtt94w=")</f>
        <v>#VALUE!</v>
      </c>
      <c r="EL4" t="e">
        <f>AND(List1!N35,"AAAAAGtt940=")</f>
        <v>#VALUE!</v>
      </c>
      <c r="EM4" t="e">
        <f>AND(List1!O35,"AAAAAGtt944=")</f>
        <v>#VALUE!</v>
      </c>
      <c r="EN4" t="e">
        <f>AND(List1!P35,"AAAAAGtt948=")</f>
        <v>#VALUE!</v>
      </c>
      <c r="EO4" t="e">
        <f>AND(List1!Q35,"AAAAAGtt95A=")</f>
        <v>#VALUE!</v>
      </c>
      <c r="EP4" t="e">
        <f>AND(List1!R35,"AAAAAGtt95E=")</f>
        <v>#VALUE!</v>
      </c>
      <c r="EQ4" t="e">
        <f>AND(List1!S35,"AAAAAGtt95I=")</f>
        <v>#VALUE!</v>
      </c>
      <c r="ER4" t="e">
        <f>AND(List1!T35,"AAAAAGtt95M=")</f>
        <v>#VALUE!</v>
      </c>
      <c r="ES4" t="e">
        <f>AND(List1!U35,"AAAAAGtt95Q=")</f>
        <v>#VALUE!</v>
      </c>
      <c r="ET4" t="e">
        <f>AND(List1!V35,"AAAAAGtt95U=")</f>
        <v>#VALUE!</v>
      </c>
      <c r="EU4" t="e">
        <f>AND(List1!W35,"AAAAAGtt95Y=")</f>
        <v>#VALUE!</v>
      </c>
      <c r="EV4" t="e">
        <f>AND(List1!X35,"AAAAAGtt95c=")</f>
        <v>#VALUE!</v>
      </c>
      <c r="EW4" t="e">
        <f>AND(List1!Y35,"AAAAAGtt95g=")</f>
        <v>#VALUE!</v>
      </c>
      <c r="EX4" t="e">
        <f>AND(List1!Z35,"AAAAAGtt95k=")</f>
        <v>#VALUE!</v>
      </c>
      <c r="EY4" t="e">
        <f>AND(List1!AA35,"AAAAAGtt95o=")</f>
        <v>#VALUE!</v>
      </c>
      <c r="EZ4" t="e">
        <f>AND(List1!AB35,"AAAAAGtt95s=")</f>
        <v>#VALUE!</v>
      </c>
      <c r="FA4">
        <f>IF(List1!36:36,"AAAAAGtt95w=",0)</f>
        <v>0</v>
      </c>
      <c r="FB4" t="b">
        <f>AND(List1!B36,"AAAAAGtt950=")</f>
        <v>1</v>
      </c>
      <c r="FC4" t="e">
        <f>AND(List1!C36,"AAAAAGtt954=")</f>
        <v>#VALUE!</v>
      </c>
      <c r="FD4" t="e">
        <f>AND(List1!D36,"AAAAAGtt958=")</f>
        <v>#VALUE!</v>
      </c>
      <c r="FE4" t="e">
        <f>AND(List1!E36,"AAAAAGtt96A=")</f>
        <v>#VALUE!</v>
      </c>
      <c r="FF4" t="e">
        <f>AND(List1!F36,"AAAAAGtt96E=")</f>
        <v>#VALUE!</v>
      </c>
      <c r="FG4" t="e">
        <f>AND(List1!G36,"AAAAAGtt96I=")</f>
        <v>#VALUE!</v>
      </c>
      <c r="FH4" t="e">
        <f>AND(List1!H36,"AAAAAGtt96M=")</f>
        <v>#VALUE!</v>
      </c>
      <c r="FI4" t="e">
        <f>AND(List1!I36,"AAAAAGtt96Q=")</f>
        <v>#VALUE!</v>
      </c>
      <c r="FJ4" t="e">
        <f>AND(List1!J36,"AAAAAGtt96U=")</f>
        <v>#VALUE!</v>
      </c>
      <c r="FK4" t="e">
        <f>AND(List1!K36,"AAAAAGtt96Y=")</f>
        <v>#VALUE!</v>
      </c>
      <c r="FL4" t="e">
        <f>AND(List1!L36,"AAAAAGtt96c=")</f>
        <v>#VALUE!</v>
      </c>
      <c r="FM4" t="e">
        <f>AND(List1!M36,"AAAAAGtt96g=")</f>
        <v>#VALUE!</v>
      </c>
      <c r="FN4" t="e">
        <f>AND(List1!N36,"AAAAAGtt96k=")</f>
        <v>#VALUE!</v>
      </c>
      <c r="FO4" t="e">
        <f>AND(List1!O36,"AAAAAGtt96o=")</f>
        <v>#VALUE!</v>
      </c>
      <c r="FP4" t="e">
        <f>AND(List1!P36,"AAAAAGtt96s=")</f>
        <v>#VALUE!</v>
      </c>
      <c r="FQ4" t="e">
        <f>AND(List1!Q36,"AAAAAGtt96w=")</f>
        <v>#VALUE!</v>
      </c>
      <c r="FR4" t="e">
        <f>AND(List1!R36,"AAAAAGtt960=")</f>
        <v>#VALUE!</v>
      </c>
      <c r="FS4" t="e">
        <f>AND(List1!S36,"AAAAAGtt964=")</f>
        <v>#VALUE!</v>
      </c>
      <c r="FT4" t="e">
        <f>AND(List1!T36,"AAAAAGtt968=")</f>
        <v>#VALUE!</v>
      </c>
      <c r="FU4" t="e">
        <f>AND(List1!U36,"AAAAAGtt97A=")</f>
        <v>#VALUE!</v>
      </c>
      <c r="FV4" t="e">
        <f>AND(List1!V36,"AAAAAGtt97E=")</f>
        <v>#VALUE!</v>
      </c>
      <c r="FW4" t="e">
        <f>AND(List1!W36,"AAAAAGtt97I=")</f>
        <v>#VALUE!</v>
      </c>
      <c r="FX4" t="e">
        <f>AND(List1!X36,"AAAAAGtt97M=")</f>
        <v>#VALUE!</v>
      </c>
      <c r="FY4" t="e">
        <f>AND(List1!Y36,"AAAAAGtt97Q=")</f>
        <v>#VALUE!</v>
      </c>
      <c r="FZ4" t="e">
        <f>AND(List1!Z36,"AAAAAGtt97U=")</f>
        <v>#VALUE!</v>
      </c>
      <c r="GA4" t="e">
        <f>AND(List1!AA36,"AAAAAGtt97Y=")</f>
        <v>#VALUE!</v>
      </c>
      <c r="GB4" t="e">
        <f>AND(List1!AB36,"AAAAAGtt97c=")</f>
        <v>#VALUE!</v>
      </c>
      <c r="GC4">
        <f>IF(List1!37:37,"AAAAAGtt97g=",0)</f>
        <v>0</v>
      </c>
      <c r="GD4" t="b">
        <f>AND(List1!B37,"AAAAAGtt97k=")</f>
        <v>1</v>
      </c>
      <c r="GE4" t="e">
        <f>AND(List1!C37,"AAAAAGtt97o=")</f>
        <v>#VALUE!</v>
      </c>
      <c r="GF4" t="e">
        <f>AND(List1!D37,"AAAAAGtt97s=")</f>
        <v>#VALUE!</v>
      </c>
      <c r="GG4" t="e">
        <f>AND(List1!E37,"AAAAAGtt97w=")</f>
        <v>#VALUE!</v>
      </c>
      <c r="GH4" t="e">
        <f>AND(List1!F37,"AAAAAGtt970=")</f>
        <v>#VALUE!</v>
      </c>
      <c r="GI4" t="e">
        <f>AND(List1!G37,"AAAAAGtt974=")</f>
        <v>#VALUE!</v>
      </c>
      <c r="GJ4" t="e">
        <f>AND(List1!H37,"AAAAAGtt978=")</f>
        <v>#VALUE!</v>
      </c>
      <c r="GK4" t="e">
        <f>AND(List1!I37,"AAAAAGtt98A=")</f>
        <v>#VALUE!</v>
      </c>
      <c r="GL4" t="e">
        <f>AND(List1!J37,"AAAAAGtt98E=")</f>
        <v>#VALUE!</v>
      </c>
      <c r="GM4" t="e">
        <f>AND(List1!K37,"AAAAAGtt98I=")</f>
        <v>#VALUE!</v>
      </c>
      <c r="GN4" t="e">
        <f>AND(List1!L37,"AAAAAGtt98M=")</f>
        <v>#VALUE!</v>
      </c>
      <c r="GO4" t="e">
        <f>AND(List1!M37,"AAAAAGtt98Q=")</f>
        <v>#VALUE!</v>
      </c>
      <c r="GP4" t="e">
        <f>AND(List1!N37,"AAAAAGtt98U=")</f>
        <v>#VALUE!</v>
      </c>
      <c r="GQ4" t="e">
        <f>AND(List1!O37,"AAAAAGtt98Y=")</f>
        <v>#VALUE!</v>
      </c>
      <c r="GR4" t="e">
        <f>AND(List1!P37,"AAAAAGtt98c=")</f>
        <v>#VALUE!</v>
      </c>
      <c r="GS4" t="e">
        <f>AND(List1!Q37,"AAAAAGtt98g=")</f>
        <v>#VALUE!</v>
      </c>
      <c r="GT4" t="e">
        <f>AND(List1!R37,"AAAAAGtt98k=")</f>
        <v>#VALUE!</v>
      </c>
      <c r="GU4" t="e">
        <f>AND(List1!S37,"AAAAAGtt98o=")</f>
        <v>#VALUE!</v>
      </c>
      <c r="GV4" t="e">
        <f>AND(List1!T37,"AAAAAGtt98s=")</f>
        <v>#VALUE!</v>
      </c>
      <c r="GW4" t="e">
        <f>AND(List1!U37,"AAAAAGtt98w=")</f>
        <v>#VALUE!</v>
      </c>
      <c r="GX4" t="e">
        <f>AND(List1!V37,"AAAAAGtt980=")</f>
        <v>#VALUE!</v>
      </c>
      <c r="GY4" t="e">
        <f>AND(List1!W37,"AAAAAGtt984=")</f>
        <v>#VALUE!</v>
      </c>
      <c r="GZ4" t="e">
        <f>AND(List1!X37,"AAAAAGtt988=")</f>
        <v>#VALUE!</v>
      </c>
      <c r="HA4" t="e">
        <f>AND(List1!Y37,"AAAAAGtt99A=")</f>
        <v>#VALUE!</v>
      </c>
      <c r="HB4" t="e">
        <f>AND(List1!Z37,"AAAAAGtt99E=")</f>
        <v>#VALUE!</v>
      </c>
      <c r="HC4" t="e">
        <f>AND(List1!AA37,"AAAAAGtt99I=")</f>
        <v>#VALUE!</v>
      </c>
      <c r="HD4" t="e">
        <f>AND(List1!AB37,"AAAAAGtt99M=")</f>
        <v>#VALUE!</v>
      </c>
      <c r="HE4">
        <f>IF(List1!38:38,"AAAAAGtt99Q=",0)</f>
        <v>0</v>
      </c>
      <c r="HF4" t="b">
        <f>AND(List1!B38,"AAAAAGtt99U=")</f>
        <v>1</v>
      </c>
      <c r="HG4" t="e">
        <f>AND(List1!C38,"AAAAAGtt99Y=")</f>
        <v>#VALUE!</v>
      </c>
      <c r="HH4" t="e">
        <f>AND(List1!D38,"AAAAAGtt99c=")</f>
        <v>#VALUE!</v>
      </c>
      <c r="HI4" t="e">
        <f>AND(List1!E38,"AAAAAGtt99g=")</f>
        <v>#VALUE!</v>
      </c>
      <c r="HJ4" t="e">
        <f>AND(List1!F38,"AAAAAGtt99k=")</f>
        <v>#VALUE!</v>
      </c>
      <c r="HK4" t="e">
        <f>AND(List1!G38,"AAAAAGtt99o=")</f>
        <v>#VALUE!</v>
      </c>
      <c r="HL4" t="e">
        <f>AND(List1!H38,"AAAAAGtt99s=")</f>
        <v>#VALUE!</v>
      </c>
      <c r="HM4" t="e">
        <f>AND(List1!I38,"AAAAAGtt99w=")</f>
        <v>#VALUE!</v>
      </c>
      <c r="HN4" t="e">
        <f>AND(List1!J38,"AAAAAGtt990=")</f>
        <v>#VALUE!</v>
      </c>
      <c r="HO4" t="e">
        <f>AND(List1!K38,"AAAAAGtt994=")</f>
        <v>#VALUE!</v>
      </c>
      <c r="HP4" t="e">
        <f>AND(List1!L38,"AAAAAGtt998=")</f>
        <v>#VALUE!</v>
      </c>
      <c r="HQ4" t="e">
        <f>AND(List1!M38,"AAAAAGtt9+A=")</f>
        <v>#VALUE!</v>
      </c>
      <c r="HR4" t="e">
        <f>AND(List1!N38,"AAAAAGtt9+E=")</f>
        <v>#VALUE!</v>
      </c>
      <c r="HS4" t="e">
        <f>AND(List1!O38,"AAAAAGtt9+I=")</f>
        <v>#VALUE!</v>
      </c>
      <c r="HT4" t="e">
        <f>AND(List1!P38,"AAAAAGtt9+M=")</f>
        <v>#VALUE!</v>
      </c>
      <c r="HU4" t="e">
        <f>AND(List1!Q38,"AAAAAGtt9+Q=")</f>
        <v>#VALUE!</v>
      </c>
      <c r="HV4" t="e">
        <f>AND(List1!R38,"AAAAAGtt9+U=")</f>
        <v>#VALUE!</v>
      </c>
      <c r="HW4" t="e">
        <f>AND(List1!S38,"AAAAAGtt9+Y=")</f>
        <v>#VALUE!</v>
      </c>
      <c r="HX4" t="e">
        <f>AND(List1!T38,"AAAAAGtt9+c=")</f>
        <v>#VALUE!</v>
      </c>
      <c r="HY4" t="e">
        <f>AND(List1!U38,"AAAAAGtt9+g=")</f>
        <v>#VALUE!</v>
      </c>
      <c r="HZ4" t="e">
        <f>AND(List1!V38,"AAAAAGtt9+k=")</f>
        <v>#VALUE!</v>
      </c>
      <c r="IA4" t="e">
        <f>AND(List1!W38,"AAAAAGtt9+o=")</f>
        <v>#VALUE!</v>
      </c>
      <c r="IB4" t="e">
        <f>AND(List1!X38,"AAAAAGtt9+s=")</f>
        <v>#VALUE!</v>
      </c>
      <c r="IC4" t="e">
        <f>AND(List1!Y38,"AAAAAGtt9+w=")</f>
        <v>#VALUE!</v>
      </c>
      <c r="ID4" t="e">
        <f>AND(List1!Z38,"AAAAAGtt9+0=")</f>
        <v>#VALUE!</v>
      </c>
      <c r="IE4" t="e">
        <f>AND(List1!AA38,"AAAAAGtt9+4=")</f>
        <v>#VALUE!</v>
      </c>
      <c r="IF4" t="e">
        <f>AND(List1!AB38,"AAAAAGtt9+8=")</f>
        <v>#VALUE!</v>
      </c>
      <c r="IG4">
        <f>IF(List1!39:39,"AAAAAGtt9/A=",0)</f>
        <v>0</v>
      </c>
      <c r="IH4" t="b">
        <f>AND(List1!B39,"AAAAAGtt9/E=")</f>
        <v>1</v>
      </c>
      <c r="II4" t="e">
        <f>AND(List1!C39,"AAAAAGtt9/I=")</f>
        <v>#VALUE!</v>
      </c>
      <c r="IJ4" t="e">
        <f>AND(List1!D39,"AAAAAGtt9/M=")</f>
        <v>#VALUE!</v>
      </c>
      <c r="IK4" t="e">
        <f>AND(List1!E39,"AAAAAGtt9/Q=")</f>
        <v>#VALUE!</v>
      </c>
      <c r="IL4" t="e">
        <f>AND(List1!F39,"AAAAAGtt9/U=")</f>
        <v>#VALUE!</v>
      </c>
      <c r="IM4" t="e">
        <f>AND(List1!G39,"AAAAAGtt9/Y=")</f>
        <v>#VALUE!</v>
      </c>
      <c r="IN4" t="e">
        <f>AND(List1!H39,"AAAAAGtt9/c=")</f>
        <v>#VALUE!</v>
      </c>
      <c r="IO4" t="e">
        <f>AND(List1!I39,"AAAAAGtt9/g=")</f>
        <v>#VALUE!</v>
      </c>
      <c r="IP4" t="e">
        <f>AND(List1!J39,"AAAAAGtt9/k=")</f>
        <v>#VALUE!</v>
      </c>
      <c r="IQ4" t="e">
        <f>AND(List1!K39,"AAAAAGtt9/o=")</f>
        <v>#VALUE!</v>
      </c>
      <c r="IR4" t="e">
        <f>AND(List1!L39,"AAAAAGtt9/s=")</f>
        <v>#VALUE!</v>
      </c>
      <c r="IS4" t="e">
        <f>AND(List1!M39,"AAAAAGtt9/w=")</f>
        <v>#VALUE!</v>
      </c>
      <c r="IT4" t="e">
        <f>AND(List1!N39,"AAAAAGtt9/0=")</f>
        <v>#VALUE!</v>
      </c>
      <c r="IU4" t="e">
        <f>AND(List1!O39,"AAAAAGtt9/4=")</f>
        <v>#VALUE!</v>
      </c>
      <c r="IV4" t="e">
        <f>AND(List1!P39,"AAAAAGtt9/8=")</f>
        <v>#VALUE!</v>
      </c>
    </row>
    <row r="5" spans="1:256" x14ac:dyDescent="0.25">
      <c r="A5" t="e">
        <f>AND(List1!Q39,"AAAAAH8vvgA=")</f>
        <v>#VALUE!</v>
      </c>
      <c r="B5" t="e">
        <f>AND(List1!R39,"AAAAAH8vvgE=")</f>
        <v>#VALUE!</v>
      </c>
      <c r="C5" t="e">
        <f>AND(List1!S39,"AAAAAH8vvgI=")</f>
        <v>#VALUE!</v>
      </c>
      <c r="D5" t="e">
        <f>AND(List1!T39,"AAAAAH8vvgM=")</f>
        <v>#VALUE!</v>
      </c>
      <c r="E5" t="e">
        <f>AND(List1!U39,"AAAAAH8vvgQ=")</f>
        <v>#VALUE!</v>
      </c>
      <c r="F5" t="e">
        <f>AND(List1!V39,"AAAAAH8vvgU=")</f>
        <v>#VALUE!</v>
      </c>
      <c r="G5" t="e">
        <f>AND(List1!W39,"AAAAAH8vvgY=")</f>
        <v>#VALUE!</v>
      </c>
      <c r="H5" t="e">
        <f>AND(List1!X39,"AAAAAH8vvgc=")</f>
        <v>#VALUE!</v>
      </c>
      <c r="I5" t="e">
        <f>AND(List1!Y39,"AAAAAH8vvgg=")</f>
        <v>#VALUE!</v>
      </c>
      <c r="J5" t="e">
        <f>AND(List1!Z39,"AAAAAH8vvgk=")</f>
        <v>#VALUE!</v>
      </c>
      <c r="K5" t="e">
        <f>AND(List1!AA39,"AAAAAH8vvgo=")</f>
        <v>#VALUE!</v>
      </c>
      <c r="L5" t="e">
        <f>AND(List1!AB39,"AAAAAH8vvgs=")</f>
        <v>#VALUE!</v>
      </c>
      <c r="M5">
        <f>IF(List1!40:40,"AAAAAH8vvgw=",0)</f>
        <v>0</v>
      </c>
      <c r="N5" t="b">
        <f>AND(List1!B40,"AAAAAH8vvg0=")</f>
        <v>1</v>
      </c>
      <c r="O5" t="e">
        <f>AND(List1!C40,"AAAAAH8vvg4=")</f>
        <v>#VALUE!</v>
      </c>
      <c r="P5" t="e">
        <f>AND(List1!D40,"AAAAAH8vvg8=")</f>
        <v>#VALUE!</v>
      </c>
      <c r="Q5" t="e">
        <f>AND(List1!E40,"AAAAAH8vvhA=")</f>
        <v>#VALUE!</v>
      </c>
      <c r="R5" t="e">
        <f>AND(List1!F40,"AAAAAH8vvhE=")</f>
        <v>#VALUE!</v>
      </c>
      <c r="S5" t="e">
        <f>AND(List1!G40,"AAAAAH8vvhI=")</f>
        <v>#VALUE!</v>
      </c>
      <c r="T5" t="e">
        <f>AND(List1!H40,"AAAAAH8vvhM=")</f>
        <v>#VALUE!</v>
      </c>
      <c r="U5" t="e">
        <f>AND(List1!I40,"AAAAAH8vvhQ=")</f>
        <v>#VALUE!</v>
      </c>
      <c r="V5" t="e">
        <f>AND(List1!J40,"AAAAAH8vvhU=")</f>
        <v>#VALUE!</v>
      </c>
      <c r="W5" t="e">
        <f>AND(List1!K40,"AAAAAH8vvhY=")</f>
        <v>#VALUE!</v>
      </c>
      <c r="X5" t="e">
        <f>AND(List1!L40,"AAAAAH8vvhc=")</f>
        <v>#VALUE!</v>
      </c>
      <c r="Y5" t="e">
        <f>AND(List1!M40,"AAAAAH8vvhg=")</f>
        <v>#VALUE!</v>
      </c>
      <c r="Z5" t="e">
        <f>AND(List1!N40,"AAAAAH8vvhk=")</f>
        <v>#VALUE!</v>
      </c>
      <c r="AA5" t="e">
        <f>AND(List1!O40,"AAAAAH8vvho=")</f>
        <v>#VALUE!</v>
      </c>
      <c r="AB5" t="e">
        <f>AND(List1!P40,"AAAAAH8vvhs=")</f>
        <v>#VALUE!</v>
      </c>
      <c r="AC5" t="e">
        <f>AND(List1!Q40,"AAAAAH8vvhw=")</f>
        <v>#VALUE!</v>
      </c>
      <c r="AD5" t="e">
        <f>AND(List1!R40,"AAAAAH8vvh0=")</f>
        <v>#VALUE!</v>
      </c>
      <c r="AE5" t="e">
        <f>AND(List1!S40,"AAAAAH8vvh4=")</f>
        <v>#VALUE!</v>
      </c>
      <c r="AF5" t="e">
        <f>AND(List1!T40,"AAAAAH8vvh8=")</f>
        <v>#VALUE!</v>
      </c>
      <c r="AG5" t="e">
        <f>AND(List1!U40,"AAAAAH8vviA=")</f>
        <v>#VALUE!</v>
      </c>
      <c r="AH5" t="e">
        <f>AND(List1!V40,"AAAAAH8vviE=")</f>
        <v>#VALUE!</v>
      </c>
      <c r="AI5" t="e">
        <f>AND(List1!W40,"AAAAAH8vviI=")</f>
        <v>#VALUE!</v>
      </c>
      <c r="AJ5" t="e">
        <f>AND(List1!X40,"AAAAAH8vviM=")</f>
        <v>#VALUE!</v>
      </c>
      <c r="AK5" t="e">
        <f>AND(List1!Y40,"AAAAAH8vviQ=")</f>
        <v>#VALUE!</v>
      </c>
      <c r="AL5" t="e">
        <f>AND(List1!Z40,"AAAAAH8vviU=")</f>
        <v>#VALUE!</v>
      </c>
      <c r="AM5" t="e">
        <f>AND(List1!AA40,"AAAAAH8vviY=")</f>
        <v>#VALUE!</v>
      </c>
      <c r="AN5" t="e">
        <f>AND(List1!AB40,"AAAAAH8vvic=")</f>
        <v>#VALUE!</v>
      </c>
      <c r="AO5">
        <f>IF(List1!41:41,"AAAAAH8vvig=",0)</f>
        <v>0</v>
      </c>
      <c r="AP5" t="b">
        <f>AND(List1!B41,"AAAAAH8vvik=")</f>
        <v>1</v>
      </c>
      <c r="AQ5" t="e">
        <f>AND(List1!C41,"AAAAAH8vvio=")</f>
        <v>#VALUE!</v>
      </c>
      <c r="AR5" t="e">
        <f>AND(List1!D41,"AAAAAH8vvis=")</f>
        <v>#VALUE!</v>
      </c>
      <c r="AS5" t="e">
        <f>AND(List1!E41,"AAAAAH8vviw=")</f>
        <v>#VALUE!</v>
      </c>
      <c r="AT5" t="e">
        <f>AND(List1!F41,"AAAAAH8vvi0=")</f>
        <v>#VALUE!</v>
      </c>
      <c r="AU5" t="e">
        <f>AND(List1!G41,"AAAAAH8vvi4=")</f>
        <v>#VALUE!</v>
      </c>
      <c r="AV5" t="e">
        <f>AND(List1!H41,"AAAAAH8vvi8=")</f>
        <v>#VALUE!</v>
      </c>
      <c r="AW5" t="e">
        <f>AND(List1!I41,"AAAAAH8vvjA=")</f>
        <v>#VALUE!</v>
      </c>
      <c r="AX5" t="e">
        <f>AND(List1!J41,"AAAAAH8vvjE=")</f>
        <v>#VALUE!</v>
      </c>
      <c r="AY5" t="e">
        <f>AND(List1!K41,"AAAAAH8vvjI=")</f>
        <v>#VALUE!</v>
      </c>
      <c r="AZ5" t="e">
        <f>AND(List1!L41,"AAAAAH8vvjM=")</f>
        <v>#VALUE!</v>
      </c>
      <c r="BA5" t="e">
        <f>AND(List1!M41,"AAAAAH8vvjQ=")</f>
        <v>#VALUE!</v>
      </c>
      <c r="BB5" t="e">
        <f>AND(List1!N41,"AAAAAH8vvjU=")</f>
        <v>#VALUE!</v>
      </c>
      <c r="BC5" t="e">
        <f>AND(List1!O41,"AAAAAH8vvjY=")</f>
        <v>#VALUE!</v>
      </c>
      <c r="BD5" t="e">
        <f>AND(List1!P41,"AAAAAH8vvjc=")</f>
        <v>#VALUE!</v>
      </c>
      <c r="BE5" t="e">
        <f>AND(List1!Q41,"AAAAAH8vvjg=")</f>
        <v>#VALUE!</v>
      </c>
      <c r="BF5" t="e">
        <f>AND(List1!R41,"AAAAAH8vvjk=")</f>
        <v>#VALUE!</v>
      </c>
      <c r="BG5" t="e">
        <f>AND(List1!S41,"AAAAAH8vvjo=")</f>
        <v>#VALUE!</v>
      </c>
      <c r="BH5" t="e">
        <f>AND(List1!T41,"AAAAAH8vvjs=")</f>
        <v>#VALUE!</v>
      </c>
      <c r="BI5" t="e">
        <f>AND(List1!U41,"AAAAAH8vvjw=")</f>
        <v>#VALUE!</v>
      </c>
      <c r="BJ5" t="e">
        <f>AND(List1!V41,"AAAAAH8vvj0=")</f>
        <v>#VALUE!</v>
      </c>
      <c r="BK5" t="e">
        <f>AND(List1!W41,"AAAAAH8vvj4=")</f>
        <v>#VALUE!</v>
      </c>
      <c r="BL5" t="e">
        <f>AND(List1!X41,"AAAAAH8vvj8=")</f>
        <v>#VALUE!</v>
      </c>
      <c r="BM5" t="e">
        <f>AND(List1!Y41,"AAAAAH8vvkA=")</f>
        <v>#VALUE!</v>
      </c>
      <c r="BN5" t="e">
        <f>AND(List1!Z41,"AAAAAH8vvkE=")</f>
        <v>#VALUE!</v>
      </c>
      <c r="BO5" t="e">
        <f>AND(List1!AA41,"AAAAAH8vvkI=")</f>
        <v>#VALUE!</v>
      </c>
      <c r="BP5" t="e">
        <f>AND(List1!AB41,"AAAAAH8vvkM=")</f>
        <v>#VALUE!</v>
      </c>
      <c r="BQ5">
        <f>IF(List1!42:42,"AAAAAH8vvkQ=",0)</f>
        <v>0</v>
      </c>
      <c r="BR5" t="b">
        <f>AND(List1!B42,"AAAAAH8vvkU=")</f>
        <v>1</v>
      </c>
      <c r="BS5" t="e">
        <f>AND(List1!C42,"AAAAAH8vvkY=")</f>
        <v>#VALUE!</v>
      </c>
      <c r="BT5" t="e">
        <f>AND(List1!D42,"AAAAAH8vvkc=")</f>
        <v>#VALUE!</v>
      </c>
      <c r="BU5" t="e">
        <f>AND(List1!E42,"AAAAAH8vvkg=")</f>
        <v>#VALUE!</v>
      </c>
      <c r="BV5" t="e">
        <f>AND(List1!F42,"AAAAAH8vvkk=")</f>
        <v>#VALUE!</v>
      </c>
      <c r="BW5" t="e">
        <f>AND(List1!G42,"AAAAAH8vvko=")</f>
        <v>#VALUE!</v>
      </c>
      <c r="BX5" t="e">
        <f>AND(List1!H42,"AAAAAH8vvks=")</f>
        <v>#VALUE!</v>
      </c>
      <c r="BY5" t="e">
        <f>AND(List1!I42,"AAAAAH8vvkw=")</f>
        <v>#VALUE!</v>
      </c>
      <c r="BZ5" t="e">
        <f>AND(List1!J42,"AAAAAH8vvk0=")</f>
        <v>#VALUE!</v>
      </c>
      <c r="CA5" t="e">
        <f>AND(List1!K42,"AAAAAH8vvk4=")</f>
        <v>#VALUE!</v>
      </c>
      <c r="CB5" t="e">
        <f>AND(List1!L42,"AAAAAH8vvk8=")</f>
        <v>#VALUE!</v>
      </c>
      <c r="CC5" t="e">
        <f>AND(List1!M42,"AAAAAH8vvlA=")</f>
        <v>#VALUE!</v>
      </c>
      <c r="CD5" t="e">
        <f>AND(List1!N42,"AAAAAH8vvlE=")</f>
        <v>#VALUE!</v>
      </c>
      <c r="CE5" t="e">
        <f>AND(List1!O42,"AAAAAH8vvlI=")</f>
        <v>#VALUE!</v>
      </c>
      <c r="CF5" t="e">
        <f>AND(List1!P42,"AAAAAH8vvlM=")</f>
        <v>#VALUE!</v>
      </c>
      <c r="CG5" t="e">
        <f>AND(List1!Q42,"AAAAAH8vvlQ=")</f>
        <v>#VALUE!</v>
      </c>
      <c r="CH5" t="e">
        <f>AND(List1!R42,"AAAAAH8vvlU=")</f>
        <v>#VALUE!</v>
      </c>
      <c r="CI5" t="e">
        <f>AND(List1!S42,"AAAAAH8vvlY=")</f>
        <v>#VALUE!</v>
      </c>
      <c r="CJ5" t="e">
        <f>AND(List1!T42,"AAAAAH8vvlc=")</f>
        <v>#VALUE!</v>
      </c>
      <c r="CK5" t="e">
        <f>AND(List1!U42,"AAAAAH8vvlg=")</f>
        <v>#VALUE!</v>
      </c>
      <c r="CL5" t="e">
        <f>AND(List1!V42,"AAAAAH8vvlk=")</f>
        <v>#VALUE!</v>
      </c>
      <c r="CM5" t="e">
        <f>AND(List1!W42,"AAAAAH8vvlo=")</f>
        <v>#VALUE!</v>
      </c>
      <c r="CN5" t="e">
        <f>AND(List1!X42,"AAAAAH8vvls=")</f>
        <v>#VALUE!</v>
      </c>
      <c r="CO5" t="e">
        <f>AND(List1!Y42,"AAAAAH8vvlw=")</f>
        <v>#VALUE!</v>
      </c>
      <c r="CP5" t="e">
        <f>AND(List1!Z42,"AAAAAH8vvl0=")</f>
        <v>#VALUE!</v>
      </c>
      <c r="CQ5" t="e">
        <f>AND(List1!AA42,"AAAAAH8vvl4=")</f>
        <v>#VALUE!</v>
      </c>
      <c r="CR5" t="e">
        <f>AND(List1!AB42,"AAAAAH8vvl8=")</f>
        <v>#VALUE!</v>
      </c>
      <c r="CS5">
        <f>IF(List1!43:43,"AAAAAH8vvmA=",0)</f>
        <v>0</v>
      </c>
      <c r="CT5" t="b">
        <f>AND(List1!B43,"AAAAAH8vvmE=")</f>
        <v>1</v>
      </c>
      <c r="CU5" t="e">
        <f>AND(List1!C43,"AAAAAH8vvmI=")</f>
        <v>#VALUE!</v>
      </c>
      <c r="CV5" t="e">
        <f>AND(List1!D43,"AAAAAH8vvmM=")</f>
        <v>#VALUE!</v>
      </c>
      <c r="CW5" t="e">
        <f>AND(List1!E43,"AAAAAH8vvmQ=")</f>
        <v>#VALUE!</v>
      </c>
      <c r="CX5" t="e">
        <f>AND(List1!F43,"AAAAAH8vvmU=")</f>
        <v>#VALUE!</v>
      </c>
      <c r="CY5" t="e">
        <f>AND(List1!G43,"AAAAAH8vvmY=")</f>
        <v>#VALUE!</v>
      </c>
      <c r="CZ5" t="e">
        <f>AND(List1!H43,"AAAAAH8vvmc=")</f>
        <v>#VALUE!</v>
      </c>
      <c r="DA5" t="e">
        <f>AND(List1!I43,"AAAAAH8vvmg=")</f>
        <v>#VALUE!</v>
      </c>
      <c r="DB5" t="e">
        <f>AND(List1!J43,"AAAAAH8vvmk=")</f>
        <v>#VALUE!</v>
      </c>
      <c r="DC5" t="e">
        <f>AND(List1!K43,"AAAAAH8vvmo=")</f>
        <v>#VALUE!</v>
      </c>
      <c r="DD5" t="e">
        <f>AND(List1!L43,"AAAAAH8vvms=")</f>
        <v>#VALUE!</v>
      </c>
      <c r="DE5" t="e">
        <f>AND(List1!M43,"AAAAAH8vvmw=")</f>
        <v>#VALUE!</v>
      </c>
      <c r="DF5" t="e">
        <f>AND(List1!N43,"AAAAAH8vvm0=")</f>
        <v>#VALUE!</v>
      </c>
      <c r="DG5" t="e">
        <f>AND(List1!O43,"AAAAAH8vvm4=")</f>
        <v>#VALUE!</v>
      </c>
      <c r="DH5" t="e">
        <f>AND(List1!P43,"AAAAAH8vvm8=")</f>
        <v>#VALUE!</v>
      </c>
      <c r="DI5" t="e">
        <f>AND(List1!Q43,"AAAAAH8vvnA=")</f>
        <v>#VALUE!</v>
      </c>
      <c r="DJ5" t="e">
        <f>AND(List1!R43,"AAAAAH8vvnE=")</f>
        <v>#VALUE!</v>
      </c>
      <c r="DK5" t="e">
        <f>AND(List1!S43,"AAAAAH8vvnI=")</f>
        <v>#VALUE!</v>
      </c>
      <c r="DL5" t="e">
        <f>AND(List1!T43,"AAAAAH8vvnM=")</f>
        <v>#VALUE!</v>
      </c>
      <c r="DM5" t="e">
        <f>AND(List1!U43,"AAAAAH8vvnQ=")</f>
        <v>#VALUE!</v>
      </c>
      <c r="DN5" t="e">
        <f>AND(List1!V43,"AAAAAH8vvnU=")</f>
        <v>#VALUE!</v>
      </c>
      <c r="DO5" t="e">
        <f>AND(List1!W43,"AAAAAH8vvnY=")</f>
        <v>#VALUE!</v>
      </c>
      <c r="DP5" t="e">
        <f>AND(List1!X43,"AAAAAH8vvnc=")</f>
        <v>#VALUE!</v>
      </c>
      <c r="DQ5" t="e">
        <f>AND(List1!Y43,"AAAAAH8vvng=")</f>
        <v>#VALUE!</v>
      </c>
      <c r="DR5" t="e">
        <f>AND(List1!Z43,"AAAAAH8vvnk=")</f>
        <v>#VALUE!</v>
      </c>
      <c r="DS5" t="e">
        <f>AND(List1!AA43,"AAAAAH8vvno=")</f>
        <v>#VALUE!</v>
      </c>
      <c r="DT5" t="e">
        <f>AND(List1!AB43,"AAAAAH8vvns=")</f>
        <v>#VALUE!</v>
      </c>
      <c r="DU5">
        <f>IF(List1!44:44,"AAAAAH8vvnw=",0)</f>
        <v>0</v>
      </c>
      <c r="DV5" t="b">
        <f>AND(List1!B44,"AAAAAH8vvn0=")</f>
        <v>1</v>
      </c>
      <c r="DW5" t="e">
        <f>AND(List1!C44,"AAAAAH8vvn4=")</f>
        <v>#VALUE!</v>
      </c>
      <c r="DX5" t="e">
        <f>AND(List1!D44,"AAAAAH8vvn8=")</f>
        <v>#VALUE!</v>
      </c>
      <c r="DY5" t="e">
        <f>AND(List1!E44,"AAAAAH8vvoA=")</f>
        <v>#VALUE!</v>
      </c>
      <c r="DZ5" t="e">
        <f>AND(List1!F44,"AAAAAH8vvoE=")</f>
        <v>#VALUE!</v>
      </c>
      <c r="EA5" t="e">
        <f>AND(List1!G44,"AAAAAH8vvoI=")</f>
        <v>#VALUE!</v>
      </c>
      <c r="EB5" t="e">
        <f>AND(List1!H44,"AAAAAH8vvoM=")</f>
        <v>#VALUE!</v>
      </c>
      <c r="EC5" t="e">
        <f>AND(List1!I44,"AAAAAH8vvoQ=")</f>
        <v>#VALUE!</v>
      </c>
      <c r="ED5" t="e">
        <f>AND(List1!J44,"AAAAAH8vvoU=")</f>
        <v>#VALUE!</v>
      </c>
      <c r="EE5" t="e">
        <f>AND(List1!K44,"AAAAAH8vvoY=")</f>
        <v>#VALUE!</v>
      </c>
      <c r="EF5" t="e">
        <f>AND(List1!L44,"AAAAAH8vvoc=")</f>
        <v>#VALUE!</v>
      </c>
      <c r="EG5" t="e">
        <f>AND(List1!M44,"AAAAAH8vvog=")</f>
        <v>#VALUE!</v>
      </c>
      <c r="EH5" t="e">
        <f>AND(List1!N44,"AAAAAH8vvok=")</f>
        <v>#VALUE!</v>
      </c>
      <c r="EI5" t="e">
        <f>AND(List1!O44,"AAAAAH8vvoo=")</f>
        <v>#VALUE!</v>
      </c>
      <c r="EJ5" t="e">
        <f>AND(List1!P44,"AAAAAH8vvos=")</f>
        <v>#VALUE!</v>
      </c>
      <c r="EK5" t="e">
        <f>AND(List1!Q44,"AAAAAH8vvow=")</f>
        <v>#VALUE!</v>
      </c>
      <c r="EL5" t="e">
        <f>AND(List1!R44,"AAAAAH8vvo0=")</f>
        <v>#VALUE!</v>
      </c>
      <c r="EM5" t="e">
        <f>AND(List1!S44,"AAAAAH8vvo4=")</f>
        <v>#VALUE!</v>
      </c>
      <c r="EN5" t="e">
        <f>AND(List1!T44,"AAAAAH8vvo8=")</f>
        <v>#VALUE!</v>
      </c>
      <c r="EO5" t="e">
        <f>AND(List1!U44,"AAAAAH8vvpA=")</f>
        <v>#VALUE!</v>
      </c>
      <c r="EP5" t="e">
        <f>AND(List1!V44,"AAAAAH8vvpE=")</f>
        <v>#VALUE!</v>
      </c>
      <c r="EQ5" t="e">
        <f>AND(List1!W44,"AAAAAH8vvpI=")</f>
        <v>#VALUE!</v>
      </c>
      <c r="ER5" t="e">
        <f>AND(List1!X44,"AAAAAH8vvpM=")</f>
        <v>#VALUE!</v>
      </c>
      <c r="ES5" t="e">
        <f>AND(List1!Y44,"AAAAAH8vvpQ=")</f>
        <v>#VALUE!</v>
      </c>
      <c r="ET5" t="e">
        <f>AND(List1!Z44,"AAAAAH8vvpU=")</f>
        <v>#VALUE!</v>
      </c>
      <c r="EU5" t="e">
        <f>AND(List1!AA44,"AAAAAH8vvpY=")</f>
        <v>#VALUE!</v>
      </c>
      <c r="EV5" t="e">
        <f>AND(List1!AB44,"AAAAAH8vvpc=")</f>
        <v>#VALUE!</v>
      </c>
      <c r="EW5">
        <f>IF(List1!45:45,"AAAAAH8vvpg=",0)</f>
        <v>0</v>
      </c>
      <c r="EX5" t="b">
        <f>AND(List1!B45,"AAAAAH8vvpk=")</f>
        <v>1</v>
      </c>
      <c r="EY5" t="e">
        <f>AND(List1!C45,"AAAAAH8vvpo=")</f>
        <v>#VALUE!</v>
      </c>
      <c r="EZ5" t="e">
        <f>AND(List1!D45,"AAAAAH8vvps=")</f>
        <v>#VALUE!</v>
      </c>
      <c r="FA5" t="e">
        <f>AND(List1!E45,"AAAAAH8vvpw=")</f>
        <v>#VALUE!</v>
      </c>
      <c r="FB5" t="e">
        <f>AND(List1!F45,"AAAAAH8vvp0=")</f>
        <v>#VALUE!</v>
      </c>
      <c r="FC5" t="e">
        <f>AND(List1!G45,"AAAAAH8vvp4=")</f>
        <v>#VALUE!</v>
      </c>
      <c r="FD5" t="e">
        <f>AND(List1!H45,"AAAAAH8vvp8=")</f>
        <v>#VALUE!</v>
      </c>
      <c r="FE5" t="e">
        <f>AND(List1!I45,"AAAAAH8vvqA=")</f>
        <v>#VALUE!</v>
      </c>
      <c r="FF5" t="e">
        <f>AND(List1!J45,"AAAAAH8vvqE=")</f>
        <v>#VALUE!</v>
      </c>
      <c r="FG5" t="e">
        <f>AND(List1!K45,"AAAAAH8vvqI=")</f>
        <v>#VALUE!</v>
      </c>
      <c r="FH5" t="e">
        <f>AND(List1!L45,"AAAAAH8vvqM=")</f>
        <v>#VALUE!</v>
      </c>
      <c r="FI5" t="e">
        <f>AND(List1!M45,"AAAAAH8vvqQ=")</f>
        <v>#VALUE!</v>
      </c>
      <c r="FJ5" t="e">
        <f>AND(List1!N45,"AAAAAH8vvqU=")</f>
        <v>#VALUE!</v>
      </c>
      <c r="FK5" t="e">
        <f>AND(List1!O45,"AAAAAH8vvqY=")</f>
        <v>#VALUE!</v>
      </c>
      <c r="FL5" t="e">
        <f>AND(List1!P45,"AAAAAH8vvqc=")</f>
        <v>#VALUE!</v>
      </c>
      <c r="FM5" t="e">
        <f>AND(List1!Q45,"AAAAAH8vvqg=")</f>
        <v>#VALUE!</v>
      </c>
      <c r="FN5" t="e">
        <f>AND(List1!R45,"AAAAAH8vvqk=")</f>
        <v>#VALUE!</v>
      </c>
      <c r="FO5" t="e">
        <f>AND(List1!S45,"AAAAAH8vvqo=")</f>
        <v>#VALUE!</v>
      </c>
      <c r="FP5" t="e">
        <f>AND(List1!T45,"AAAAAH8vvqs=")</f>
        <v>#VALUE!</v>
      </c>
      <c r="FQ5" t="e">
        <f>AND(List1!U45,"AAAAAH8vvqw=")</f>
        <v>#VALUE!</v>
      </c>
      <c r="FR5" t="e">
        <f>AND(List1!V45,"AAAAAH8vvq0=")</f>
        <v>#VALUE!</v>
      </c>
      <c r="FS5" t="e">
        <f>AND(List1!W45,"AAAAAH8vvq4=")</f>
        <v>#VALUE!</v>
      </c>
      <c r="FT5" t="e">
        <f>AND(List1!X45,"AAAAAH8vvq8=")</f>
        <v>#VALUE!</v>
      </c>
      <c r="FU5" t="e">
        <f>AND(List1!Y45,"AAAAAH8vvrA=")</f>
        <v>#VALUE!</v>
      </c>
      <c r="FV5" t="e">
        <f>AND(List1!Z45,"AAAAAH8vvrE=")</f>
        <v>#VALUE!</v>
      </c>
      <c r="FW5" t="e">
        <f>AND(List1!AA45,"AAAAAH8vvrI=")</f>
        <v>#VALUE!</v>
      </c>
      <c r="FX5" t="e">
        <f>AND(List1!AB45,"AAAAAH8vvrM=")</f>
        <v>#VALUE!</v>
      </c>
      <c r="FY5">
        <f>IF(List1!46:46,"AAAAAH8vvrQ=",0)</f>
        <v>0</v>
      </c>
      <c r="FZ5" t="e">
        <f>AND(List1!B46,"AAAAAH8vvrU=")</f>
        <v>#VALUE!</v>
      </c>
      <c r="GA5" t="e">
        <f>AND(List1!C46,"AAAAAH8vvrY=")</f>
        <v>#VALUE!</v>
      </c>
      <c r="GB5" t="e">
        <f>AND(List1!D46,"AAAAAH8vvrc=")</f>
        <v>#VALUE!</v>
      </c>
      <c r="GC5" t="e">
        <f>AND(List1!E46,"AAAAAH8vvrg=")</f>
        <v>#VALUE!</v>
      </c>
      <c r="GD5" t="e">
        <f>AND(List1!F46,"AAAAAH8vvrk=")</f>
        <v>#VALUE!</v>
      </c>
      <c r="GE5" t="e">
        <f>AND(List1!G46,"AAAAAH8vvro=")</f>
        <v>#VALUE!</v>
      </c>
      <c r="GF5" t="e">
        <f>AND(List1!H46,"AAAAAH8vvrs=")</f>
        <v>#VALUE!</v>
      </c>
      <c r="GG5" t="e">
        <f>AND(List1!I46,"AAAAAH8vvrw=")</f>
        <v>#VALUE!</v>
      </c>
      <c r="GH5" t="e">
        <f>AND(List1!J46,"AAAAAH8vvr0=")</f>
        <v>#VALUE!</v>
      </c>
      <c r="GI5" t="e">
        <f>AND(List1!K46,"AAAAAH8vvr4=")</f>
        <v>#VALUE!</v>
      </c>
      <c r="GJ5" t="e">
        <f>AND(List1!L46,"AAAAAH8vvr8=")</f>
        <v>#VALUE!</v>
      </c>
      <c r="GK5" t="e">
        <f>AND(List1!M46,"AAAAAH8vvsA=")</f>
        <v>#VALUE!</v>
      </c>
      <c r="GL5" t="e">
        <f>AND(List1!N46,"AAAAAH8vvsE=")</f>
        <v>#VALUE!</v>
      </c>
      <c r="GM5" t="e">
        <f>AND(List1!O46,"AAAAAH8vvsI=")</f>
        <v>#VALUE!</v>
      </c>
      <c r="GN5" t="e">
        <f>AND(List1!P46,"AAAAAH8vvsM=")</f>
        <v>#VALUE!</v>
      </c>
      <c r="GO5" t="e">
        <f>AND(List1!Q46,"AAAAAH8vvsQ=")</f>
        <v>#VALUE!</v>
      </c>
      <c r="GP5" t="e">
        <f>AND(List1!R46,"AAAAAH8vvsU=")</f>
        <v>#VALUE!</v>
      </c>
      <c r="GQ5" t="e">
        <f>AND(List1!S46,"AAAAAH8vvsY=")</f>
        <v>#VALUE!</v>
      </c>
      <c r="GR5" t="e">
        <f>AND(List1!T46,"AAAAAH8vvsc=")</f>
        <v>#VALUE!</v>
      </c>
      <c r="GS5" t="e">
        <f>AND(List1!U46,"AAAAAH8vvsg=")</f>
        <v>#VALUE!</v>
      </c>
      <c r="GT5" t="e">
        <f>AND(List1!V46,"AAAAAH8vvsk=")</f>
        <v>#VALUE!</v>
      </c>
      <c r="GU5" t="e">
        <f>AND(List1!W46,"AAAAAH8vvso=")</f>
        <v>#VALUE!</v>
      </c>
      <c r="GV5" t="e">
        <f>AND(List1!X46,"AAAAAH8vvss=")</f>
        <v>#VALUE!</v>
      </c>
      <c r="GW5" t="e">
        <f>AND(List1!Y46,"AAAAAH8vvsw=")</f>
        <v>#VALUE!</v>
      </c>
      <c r="GX5" t="e">
        <f>AND(List1!Z46,"AAAAAH8vvs0=")</f>
        <v>#VALUE!</v>
      </c>
      <c r="GY5" t="e">
        <f>AND(List1!AA46,"AAAAAH8vvs4=")</f>
        <v>#VALUE!</v>
      </c>
      <c r="GZ5" t="e">
        <f>AND(List1!AB46,"AAAAAH8vvs8=")</f>
        <v>#VALUE!</v>
      </c>
      <c r="HA5">
        <f>IF(List1!47:47,"AAAAAH8vvtA=",0)</f>
        <v>0</v>
      </c>
      <c r="HB5" t="e">
        <f>AND(List1!B47,"AAAAAH8vvtE=")</f>
        <v>#VALUE!</v>
      </c>
      <c r="HC5" t="e">
        <f>AND(List1!C47,"AAAAAH8vvtI=")</f>
        <v>#VALUE!</v>
      </c>
      <c r="HD5" t="e">
        <f>AND(List1!D47,"AAAAAH8vvtM=")</f>
        <v>#VALUE!</v>
      </c>
      <c r="HE5" t="e">
        <f>AND(List1!E47,"AAAAAH8vvtQ=")</f>
        <v>#VALUE!</v>
      </c>
      <c r="HF5" t="e">
        <f>AND(List1!F47,"AAAAAH8vvtU=")</f>
        <v>#VALUE!</v>
      </c>
      <c r="HG5" t="e">
        <f>AND(List1!G47,"AAAAAH8vvtY=")</f>
        <v>#VALUE!</v>
      </c>
      <c r="HH5" t="e">
        <f>AND(List1!H47,"AAAAAH8vvtc=")</f>
        <v>#VALUE!</v>
      </c>
      <c r="HI5" t="e">
        <f>AND(List1!I47,"AAAAAH8vvtg=")</f>
        <v>#VALUE!</v>
      </c>
      <c r="HJ5" t="e">
        <f>AND(List1!J47,"AAAAAH8vvtk=")</f>
        <v>#VALUE!</v>
      </c>
      <c r="HK5" t="e">
        <f>AND(List1!K47,"AAAAAH8vvto=")</f>
        <v>#VALUE!</v>
      </c>
      <c r="HL5" t="e">
        <f>AND(List1!L47,"AAAAAH8vvts=")</f>
        <v>#VALUE!</v>
      </c>
      <c r="HM5" t="e">
        <f>AND(List1!M47,"AAAAAH8vvtw=")</f>
        <v>#VALUE!</v>
      </c>
      <c r="HN5" t="e">
        <f>AND(List1!N47,"AAAAAH8vvt0=")</f>
        <v>#VALUE!</v>
      </c>
      <c r="HO5" t="e">
        <f>AND(List1!O47,"AAAAAH8vvt4=")</f>
        <v>#VALUE!</v>
      </c>
      <c r="HP5" t="e">
        <f>AND(List1!P47,"AAAAAH8vvt8=")</f>
        <v>#VALUE!</v>
      </c>
      <c r="HQ5" t="e">
        <f>AND(List1!Q47,"AAAAAH8vvuA=")</f>
        <v>#VALUE!</v>
      </c>
      <c r="HR5" t="e">
        <f>AND(List1!R47,"AAAAAH8vvuE=")</f>
        <v>#VALUE!</v>
      </c>
      <c r="HS5" t="e">
        <f>AND(List1!S47,"AAAAAH8vvuI=")</f>
        <v>#VALUE!</v>
      </c>
      <c r="HT5" t="e">
        <f>AND(List1!T47,"AAAAAH8vvuM=")</f>
        <v>#VALUE!</v>
      </c>
      <c r="HU5" t="e">
        <f>AND(List1!U47,"AAAAAH8vvuQ=")</f>
        <v>#VALUE!</v>
      </c>
      <c r="HV5" t="e">
        <f>AND(List1!V47,"AAAAAH8vvuU=")</f>
        <v>#VALUE!</v>
      </c>
      <c r="HW5" t="e">
        <f>AND(List1!W47,"AAAAAH8vvuY=")</f>
        <v>#VALUE!</v>
      </c>
      <c r="HX5" t="e">
        <f>AND(List1!X47,"AAAAAH8vvuc=")</f>
        <v>#VALUE!</v>
      </c>
      <c r="HY5" t="e">
        <f>AND(List1!Y47,"AAAAAH8vvug=")</f>
        <v>#VALUE!</v>
      </c>
      <c r="HZ5" t="e">
        <f>AND(List1!Z47,"AAAAAH8vvuk=")</f>
        <v>#VALUE!</v>
      </c>
      <c r="IA5" t="e">
        <f>AND(List1!AA47,"AAAAAH8vvuo=")</f>
        <v>#VALUE!</v>
      </c>
      <c r="IB5" t="e">
        <f>AND(List1!AB47,"AAAAAH8vvus=")</f>
        <v>#VALUE!</v>
      </c>
      <c r="IC5">
        <f>IF(List1!48:48,"AAAAAH8vvuw=",0)</f>
        <v>0</v>
      </c>
      <c r="ID5" t="e">
        <f>AND(List1!B48,"AAAAAH8vvu0=")</f>
        <v>#VALUE!</v>
      </c>
      <c r="IE5" t="e">
        <f>AND(List1!C48,"AAAAAH8vvu4=")</f>
        <v>#VALUE!</v>
      </c>
      <c r="IF5" t="e">
        <f>AND(List1!D48,"AAAAAH8vvu8=")</f>
        <v>#VALUE!</v>
      </c>
      <c r="IG5" t="e">
        <f>AND(List1!E48,"AAAAAH8vvvA=")</f>
        <v>#VALUE!</v>
      </c>
      <c r="IH5" t="e">
        <f>AND(List1!F48,"AAAAAH8vvvE=")</f>
        <v>#VALUE!</v>
      </c>
      <c r="II5" t="e">
        <f>AND(List1!G48,"AAAAAH8vvvI=")</f>
        <v>#VALUE!</v>
      </c>
      <c r="IJ5" t="e">
        <f>AND(List1!H48,"AAAAAH8vvvM=")</f>
        <v>#VALUE!</v>
      </c>
      <c r="IK5" t="e">
        <f>AND(List1!I48,"AAAAAH8vvvQ=")</f>
        <v>#VALUE!</v>
      </c>
      <c r="IL5" t="e">
        <f>AND(List1!J48,"AAAAAH8vvvU=")</f>
        <v>#VALUE!</v>
      </c>
      <c r="IM5" t="e">
        <f>AND(List1!K48,"AAAAAH8vvvY=")</f>
        <v>#VALUE!</v>
      </c>
      <c r="IN5" t="e">
        <f>AND(List1!L48,"AAAAAH8vvvc=")</f>
        <v>#VALUE!</v>
      </c>
      <c r="IO5" t="e">
        <f>AND(List1!M48,"AAAAAH8vvvg=")</f>
        <v>#VALUE!</v>
      </c>
      <c r="IP5" t="e">
        <f>AND(List1!N48,"AAAAAH8vvvk=")</f>
        <v>#VALUE!</v>
      </c>
      <c r="IQ5" t="e">
        <f>AND(List1!O48,"AAAAAH8vvvo=")</f>
        <v>#VALUE!</v>
      </c>
      <c r="IR5" t="e">
        <f>AND(List1!P48,"AAAAAH8vvvs=")</f>
        <v>#VALUE!</v>
      </c>
      <c r="IS5" t="e">
        <f>AND(List1!Q48,"AAAAAH8vvvw=")</f>
        <v>#VALUE!</v>
      </c>
      <c r="IT5" t="e">
        <f>AND(List1!R48,"AAAAAH8vvv0=")</f>
        <v>#VALUE!</v>
      </c>
      <c r="IU5" t="e">
        <f>AND(List1!S48,"AAAAAH8vvv4=")</f>
        <v>#VALUE!</v>
      </c>
      <c r="IV5" t="e">
        <f>AND(List1!T48,"AAAAAH8vvv8=")</f>
        <v>#VALUE!</v>
      </c>
    </row>
    <row r="6" spans="1:256" x14ac:dyDescent="0.25">
      <c r="A6" t="e">
        <f>AND(List1!U48,"AAAAAFr9/wA=")</f>
        <v>#VALUE!</v>
      </c>
      <c r="B6" t="e">
        <f>AND(List1!V48,"AAAAAFr9/wE=")</f>
        <v>#VALUE!</v>
      </c>
      <c r="C6" t="e">
        <f>AND(List1!W48,"AAAAAFr9/wI=")</f>
        <v>#VALUE!</v>
      </c>
      <c r="D6" t="e">
        <f>AND(List1!X48,"AAAAAFr9/wM=")</f>
        <v>#VALUE!</v>
      </c>
      <c r="E6" t="e">
        <f>AND(List1!Y48,"AAAAAFr9/wQ=")</f>
        <v>#VALUE!</v>
      </c>
      <c r="F6" t="e">
        <f>AND(List1!Z48,"AAAAAFr9/wU=")</f>
        <v>#VALUE!</v>
      </c>
      <c r="G6" t="e">
        <f>AND(List1!AA48,"AAAAAFr9/wY=")</f>
        <v>#VALUE!</v>
      </c>
      <c r="H6" t="e">
        <f>AND(List1!AB48,"AAAAAFr9/wc=")</f>
        <v>#VALUE!</v>
      </c>
      <c r="I6">
        <f>IF(List1!49:49,"AAAAAFr9/wg=",0)</f>
        <v>0</v>
      </c>
      <c r="J6" t="e">
        <f>AND(List1!B49,"AAAAAFr9/wk=")</f>
        <v>#VALUE!</v>
      </c>
      <c r="K6" t="e">
        <f>AND(List1!C49,"AAAAAFr9/wo=")</f>
        <v>#VALUE!</v>
      </c>
      <c r="L6" t="e">
        <f>AND(List1!D49,"AAAAAFr9/ws=")</f>
        <v>#VALUE!</v>
      </c>
      <c r="M6" t="e">
        <f>AND(List1!E49,"AAAAAFr9/ww=")</f>
        <v>#VALUE!</v>
      </c>
      <c r="N6" t="e">
        <f>AND(List1!F49,"AAAAAFr9/w0=")</f>
        <v>#VALUE!</v>
      </c>
      <c r="O6" t="e">
        <f>AND(List1!G49,"AAAAAFr9/w4=")</f>
        <v>#VALUE!</v>
      </c>
      <c r="P6" t="e">
        <f>AND(List1!H49,"AAAAAFr9/w8=")</f>
        <v>#VALUE!</v>
      </c>
      <c r="Q6" t="e">
        <f>AND(List1!I49,"AAAAAFr9/xA=")</f>
        <v>#VALUE!</v>
      </c>
      <c r="R6" t="e">
        <f>AND(List1!J49,"AAAAAFr9/xE=")</f>
        <v>#VALUE!</v>
      </c>
      <c r="S6" t="e">
        <f>AND(List1!K49,"AAAAAFr9/xI=")</f>
        <v>#VALUE!</v>
      </c>
      <c r="T6" t="e">
        <f>AND(List1!L49,"AAAAAFr9/xM=")</f>
        <v>#VALUE!</v>
      </c>
      <c r="U6" t="e">
        <f>AND(List1!M49,"AAAAAFr9/xQ=")</f>
        <v>#VALUE!</v>
      </c>
      <c r="V6" t="e">
        <f>AND(List1!N49,"AAAAAFr9/xU=")</f>
        <v>#VALUE!</v>
      </c>
      <c r="W6" t="e">
        <f>AND(List1!O49,"AAAAAFr9/xY=")</f>
        <v>#VALUE!</v>
      </c>
      <c r="X6" t="e">
        <f>AND(List1!P49,"AAAAAFr9/xc=")</f>
        <v>#VALUE!</v>
      </c>
      <c r="Y6" t="e">
        <f>AND(List1!Q49,"AAAAAFr9/xg=")</f>
        <v>#VALUE!</v>
      </c>
      <c r="Z6" t="e">
        <f>AND(List1!R49,"AAAAAFr9/xk=")</f>
        <v>#VALUE!</v>
      </c>
      <c r="AA6" t="e">
        <f>AND(List1!S49,"AAAAAFr9/xo=")</f>
        <v>#VALUE!</v>
      </c>
      <c r="AB6" t="e">
        <f>AND(List1!T49,"AAAAAFr9/xs=")</f>
        <v>#VALUE!</v>
      </c>
      <c r="AC6" t="e">
        <f>AND(List1!U49,"AAAAAFr9/xw=")</f>
        <v>#VALUE!</v>
      </c>
      <c r="AD6" t="e">
        <f>AND(List1!V49,"AAAAAFr9/x0=")</f>
        <v>#VALUE!</v>
      </c>
      <c r="AE6" t="e">
        <f>AND(List1!W49,"AAAAAFr9/x4=")</f>
        <v>#VALUE!</v>
      </c>
      <c r="AF6" t="e">
        <f>AND(List1!X49,"AAAAAFr9/x8=")</f>
        <v>#VALUE!</v>
      </c>
      <c r="AG6" t="e">
        <f>AND(List1!Y49,"AAAAAFr9/yA=")</f>
        <v>#VALUE!</v>
      </c>
      <c r="AH6" t="e">
        <f>AND(List1!Z49,"AAAAAFr9/yE=")</f>
        <v>#VALUE!</v>
      </c>
      <c r="AI6" t="e">
        <f>AND(List1!AA49,"AAAAAFr9/yI=")</f>
        <v>#VALUE!</v>
      </c>
      <c r="AJ6" t="e">
        <f>AND(List1!AB49,"AAAAAFr9/yM=")</f>
        <v>#VALUE!</v>
      </c>
      <c r="AK6">
        <f>IF(List1!50:50,"AAAAAFr9/yQ=",0)</f>
        <v>0</v>
      </c>
      <c r="AL6" t="e">
        <f>AND(List1!B50,"AAAAAFr9/yU=")</f>
        <v>#VALUE!</v>
      </c>
      <c r="AM6" t="e">
        <f>AND(List1!C50,"AAAAAFr9/yY=")</f>
        <v>#VALUE!</v>
      </c>
      <c r="AN6" t="e">
        <f>AND(List1!D50,"AAAAAFr9/yc=")</f>
        <v>#VALUE!</v>
      </c>
      <c r="AO6" t="e">
        <f>AND(List1!E50,"AAAAAFr9/yg=")</f>
        <v>#VALUE!</v>
      </c>
      <c r="AP6" t="e">
        <f>AND(List1!F50,"AAAAAFr9/yk=")</f>
        <v>#VALUE!</v>
      </c>
      <c r="AQ6" t="e">
        <f>AND(List1!G50,"AAAAAFr9/yo=")</f>
        <v>#VALUE!</v>
      </c>
      <c r="AR6" t="e">
        <f>AND(List1!H50,"AAAAAFr9/ys=")</f>
        <v>#VALUE!</v>
      </c>
      <c r="AS6" t="e">
        <f>AND(List1!I50,"AAAAAFr9/yw=")</f>
        <v>#VALUE!</v>
      </c>
      <c r="AT6" t="e">
        <f>AND(List1!J50,"AAAAAFr9/y0=")</f>
        <v>#VALUE!</v>
      </c>
      <c r="AU6" t="e">
        <f>AND(List1!K50,"AAAAAFr9/y4=")</f>
        <v>#VALUE!</v>
      </c>
      <c r="AV6" t="e">
        <f>AND(List1!L50,"AAAAAFr9/y8=")</f>
        <v>#VALUE!</v>
      </c>
      <c r="AW6" t="e">
        <f>AND(List1!M50,"AAAAAFr9/zA=")</f>
        <v>#VALUE!</v>
      </c>
      <c r="AX6" t="e">
        <f>AND(List1!N50,"AAAAAFr9/zE=")</f>
        <v>#VALUE!</v>
      </c>
      <c r="AY6" t="e">
        <f>AND(List1!O50,"AAAAAFr9/zI=")</f>
        <v>#VALUE!</v>
      </c>
      <c r="AZ6" t="e">
        <f>AND(List1!P50,"AAAAAFr9/zM=")</f>
        <v>#VALUE!</v>
      </c>
      <c r="BA6" t="e">
        <f>AND(List1!Q50,"AAAAAFr9/zQ=")</f>
        <v>#VALUE!</v>
      </c>
      <c r="BB6" t="e">
        <f>AND(List1!R50,"AAAAAFr9/zU=")</f>
        <v>#VALUE!</v>
      </c>
      <c r="BC6" t="e">
        <f>AND(List1!S50,"AAAAAFr9/zY=")</f>
        <v>#VALUE!</v>
      </c>
      <c r="BD6" t="e">
        <f>AND(List1!T50,"AAAAAFr9/zc=")</f>
        <v>#VALUE!</v>
      </c>
      <c r="BE6" t="e">
        <f>AND(List1!U50,"AAAAAFr9/zg=")</f>
        <v>#VALUE!</v>
      </c>
      <c r="BF6" t="e">
        <f>AND(List1!V50,"AAAAAFr9/zk=")</f>
        <v>#VALUE!</v>
      </c>
      <c r="BG6" t="e">
        <f>AND(List1!W50,"AAAAAFr9/zo=")</f>
        <v>#VALUE!</v>
      </c>
      <c r="BH6" t="e">
        <f>AND(List1!X50,"AAAAAFr9/zs=")</f>
        <v>#VALUE!</v>
      </c>
      <c r="BI6" t="e">
        <f>AND(List1!Y50,"AAAAAFr9/zw=")</f>
        <v>#VALUE!</v>
      </c>
      <c r="BJ6" t="e">
        <f>AND(List1!Z50,"AAAAAFr9/z0=")</f>
        <v>#VALUE!</v>
      </c>
      <c r="BK6" t="e">
        <f>AND(List1!AA50,"AAAAAFr9/z4=")</f>
        <v>#VALUE!</v>
      </c>
      <c r="BL6" t="e">
        <f>AND(List1!AB50,"AAAAAFr9/z8=")</f>
        <v>#VALUE!</v>
      </c>
      <c r="BM6">
        <f>IF(List1!51:51,"AAAAAFr9/0A=",0)</f>
        <v>0</v>
      </c>
      <c r="BN6" t="e">
        <f>AND(List1!B51,"AAAAAFr9/0E=")</f>
        <v>#VALUE!</v>
      </c>
      <c r="BO6" t="e">
        <f>AND(List1!C51,"AAAAAFr9/0I=")</f>
        <v>#VALUE!</v>
      </c>
      <c r="BP6" t="e">
        <f>AND(List1!D51,"AAAAAFr9/0M=")</f>
        <v>#VALUE!</v>
      </c>
      <c r="BQ6" t="e">
        <f>AND(List1!E51,"AAAAAFr9/0Q=")</f>
        <v>#VALUE!</v>
      </c>
      <c r="BR6" t="e">
        <f>AND(List1!F51,"AAAAAFr9/0U=")</f>
        <v>#VALUE!</v>
      </c>
      <c r="BS6" t="e">
        <f>AND(List1!G51,"AAAAAFr9/0Y=")</f>
        <v>#VALUE!</v>
      </c>
      <c r="BT6" t="e">
        <f>AND(List1!H51,"AAAAAFr9/0c=")</f>
        <v>#VALUE!</v>
      </c>
      <c r="BU6" t="e">
        <f>AND(List1!I51,"AAAAAFr9/0g=")</f>
        <v>#VALUE!</v>
      </c>
      <c r="BV6" t="e">
        <f>AND(List1!J51,"AAAAAFr9/0k=")</f>
        <v>#VALUE!</v>
      </c>
      <c r="BW6" t="e">
        <f>AND(List1!K51,"AAAAAFr9/0o=")</f>
        <v>#VALUE!</v>
      </c>
      <c r="BX6" t="e">
        <f>AND(List1!L51,"AAAAAFr9/0s=")</f>
        <v>#VALUE!</v>
      </c>
      <c r="BY6" t="e">
        <f>AND(List1!M51,"AAAAAFr9/0w=")</f>
        <v>#VALUE!</v>
      </c>
      <c r="BZ6" t="e">
        <f>AND(List1!N51,"AAAAAFr9/00=")</f>
        <v>#VALUE!</v>
      </c>
      <c r="CA6" t="e">
        <f>AND(List1!O51,"AAAAAFr9/04=")</f>
        <v>#VALUE!</v>
      </c>
      <c r="CB6" t="e">
        <f>AND(List1!P51,"AAAAAFr9/08=")</f>
        <v>#VALUE!</v>
      </c>
      <c r="CC6" t="e">
        <f>AND(List1!Q51,"AAAAAFr9/1A=")</f>
        <v>#VALUE!</v>
      </c>
      <c r="CD6" t="e">
        <f>AND(List1!R51,"AAAAAFr9/1E=")</f>
        <v>#VALUE!</v>
      </c>
      <c r="CE6" t="e">
        <f>AND(List1!S51,"AAAAAFr9/1I=")</f>
        <v>#VALUE!</v>
      </c>
      <c r="CF6" t="e">
        <f>AND(List1!T51,"AAAAAFr9/1M=")</f>
        <v>#VALUE!</v>
      </c>
      <c r="CG6" t="e">
        <f>AND(List1!U51,"AAAAAFr9/1Q=")</f>
        <v>#VALUE!</v>
      </c>
      <c r="CH6" t="e">
        <f>AND(List1!V51,"AAAAAFr9/1U=")</f>
        <v>#VALUE!</v>
      </c>
      <c r="CI6" t="e">
        <f>AND(List1!W51,"AAAAAFr9/1Y=")</f>
        <v>#VALUE!</v>
      </c>
      <c r="CJ6" t="e">
        <f>AND(List1!X51,"AAAAAFr9/1c=")</f>
        <v>#VALUE!</v>
      </c>
      <c r="CK6" t="e">
        <f>AND(List1!Y51,"AAAAAFr9/1g=")</f>
        <v>#VALUE!</v>
      </c>
      <c r="CL6" t="e">
        <f>AND(List1!Z51,"AAAAAFr9/1k=")</f>
        <v>#VALUE!</v>
      </c>
      <c r="CM6" t="e">
        <f>AND(List1!AA51,"AAAAAFr9/1o=")</f>
        <v>#VALUE!</v>
      </c>
      <c r="CN6" t="e">
        <f>AND(List1!AB51,"AAAAAFr9/1s=")</f>
        <v>#VALUE!</v>
      </c>
      <c r="CO6">
        <f>IF(List1!52:52,"AAAAAFr9/1w=",0)</f>
        <v>0</v>
      </c>
      <c r="CP6" t="e">
        <f>AND(List1!B52,"AAAAAFr9/10=")</f>
        <v>#VALUE!</v>
      </c>
      <c r="CQ6" t="e">
        <f>AND(List1!C52,"AAAAAFr9/14=")</f>
        <v>#VALUE!</v>
      </c>
      <c r="CR6" t="e">
        <f>AND(List1!D52,"AAAAAFr9/18=")</f>
        <v>#VALUE!</v>
      </c>
      <c r="CS6" t="e">
        <f>AND(List1!E52,"AAAAAFr9/2A=")</f>
        <v>#VALUE!</v>
      </c>
      <c r="CT6" t="e">
        <f>AND(List1!F52,"AAAAAFr9/2E=")</f>
        <v>#VALUE!</v>
      </c>
      <c r="CU6" t="e">
        <f>AND(List1!G52,"AAAAAFr9/2I=")</f>
        <v>#VALUE!</v>
      </c>
      <c r="CV6" t="e">
        <f>AND(List1!H52,"AAAAAFr9/2M=")</f>
        <v>#VALUE!</v>
      </c>
      <c r="CW6" t="e">
        <f>AND(List1!I52,"AAAAAFr9/2Q=")</f>
        <v>#VALUE!</v>
      </c>
      <c r="CX6" t="e">
        <f>AND(List1!J52,"AAAAAFr9/2U=")</f>
        <v>#VALUE!</v>
      </c>
      <c r="CY6" t="e">
        <f>AND(List1!K52,"AAAAAFr9/2Y=")</f>
        <v>#VALUE!</v>
      </c>
      <c r="CZ6" t="e">
        <f>AND(List1!L52,"AAAAAFr9/2c=")</f>
        <v>#VALUE!</v>
      </c>
      <c r="DA6" t="e">
        <f>AND(List1!M52,"AAAAAFr9/2g=")</f>
        <v>#VALUE!</v>
      </c>
      <c r="DB6" t="e">
        <f>AND(List1!N52,"AAAAAFr9/2k=")</f>
        <v>#VALUE!</v>
      </c>
      <c r="DC6" t="e">
        <f>AND(List1!O52,"AAAAAFr9/2o=")</f>
        <v>#VALUE!</v>
      </c>
      <c r="DD6" t="e">
        <f>AND(List1!P52,"AAAAAFr9/2s=")</f>
        <v>#VALUE!</v>
      </c>
      <c r="DE6" t="e">
        <f>AND(List1!Q52,"AAAAAFr9/2w=")</f>
        <v>#VALUE!</v>
      </c>
      <c r="DF6" t="e">
        <f>AND(List1!R52,"AAAAAFr9/20=")</f>
        <v>#VALUE!</v>
      </c>
      <c r="DG6" t="e">
        <f>AND(List1!S52,"AAAAAFr9/24=")</f>
        <v>#VALUE!</v>
      </c>
      <c r="DH6" t="e">
        <f>AND(List1!T52,"AAAAAFr9/28=")</f>
        <v>#VALUE!</v>
      </c>
      <c r="DI6" t="e">
        <f>AND(List1!U52,"AAAAAFr9/3A=")</f>
        <v>#VALUE!</v>
      </c>
      <c r="DJ6" t="e">
        <f>AND(List1!V52,"AAAAAFr9/3E=")</f>
        <v>#VALUE!</v>
      </c>
      <c r="DK6" t="e">
        <f>AND(List1!W52,"AAAAAFr9/3I=")</f>
        <v>#VALUE!</v>
      </c>
      <c r="DL6" t="e">
        <f>AND(List1!X52,"AAAAAFr9/3M=")</f>
        <v>#VALUE!</v>
      </c>
      <c r="DM6" t="e">
        <f>AND(List1!Y52,"AAAAAFr9/3Q=")</f>
        <v>#VALUE!</v>
      </c>
      <c r="DN6" t="e">
        <f>AND(List1!Z52,"AAAAAFr9/3U=")</f>
        <v>#VALUE!</v>
      </c>
      <c r="DO6" t="e">
        <f>AND(List1!AA52,"AAAAAFr9/3Y=")</f>
        <v>#VALUE!</v>
      </c>
      <c r="DP6" t="e">
        <f>AND(List1!AB52,"AAAAAFr9/3c=")</f>
        <v>#VALUE!</v>
      </c>
      <c r="DQ6">
        <f>IF(List1!53:53,"AAAAAFr9/3g=",0)</f>
        <v>0</v>
      </c>
      <c r="DR6" t="e">
        <f>AND(List1!B53,"AAAAAFr9/3k=")</f>
        <v>#VALUE!</v>
      </c>
      <c r="DS6" t="e">
        <f>AND(List1!C53,"AAAAAFr9/3o=")</f>
        <v>#VALUE!</v>
      </c>
      <c r="DT6" t="e">
        <f>AND(List1!D53,"AAAAAFr9/3s=")</f>
        <v>#VALUE!</v>
      </c>
      <c r="DU6" t="e">
        <f>AND(List1!E53,"AAAAAFr9/3w=")</f>
        <v>#VALUE!</v>
      </c>
      <c r="DV6" t="e">
        <f>AND(List1!F53,"AAAAAFr9/30=")</f>
        <v>#VALUE!</v>
      </c>
      <c r="DW6" t="e">
        <f>AND(List1!G53,"AAAAAFr9/34=")</f>
        <v>#VALUE!</v>
      </c>
      <c r="DX6" t="e">
        <f>AND(List1!H53,"AAAAAFr9/38=")</f>
        <v>#VALUE!</v>
      </c>
      <c r="DY6" t="e">
        <f>AND(List1!I53,"AAAAAFr9/4A=")</f>
        <v>#VALUE!</v>
      </c>
      <c r="DZ6" t="e">
        <f>AND(List1!J53,"AAAAAFr9/4E=")</f>
        <v>#VALUE!</v>
      </c>
      <c r="EA6" t="e">
        <f>AND(List1!K53,"AAAAAFr9/4I=")</f>
        <v>#VALUE!</v>
      </c>
      <c r="EB6" t="e">
        <f>AND(List1!L53,"AAAAAFr9/4M=")</f>
        <v>#VALUE!</v>
      </c>
      <c r="EC6" t="e">
        <f>AND(List1!M53,"AAAAAFr9/4Q=")</f>
        <v>#VALUE!</v>
      </c>
      <c r="ED6" t="e">
        <f>AND(List1!N53,"AAAAAFr9/4U=")</f>
        <v>#VALUE!</v>
      </c>
      <c r="EE6" t="e">
        <f>AND(List1!O53,"AAAAAFr9/4Y=")</f>
        <v>#VALUE!</v>
      </c>
      <c r="EF6" t="e">
        <f>AND(List1!P53,"AAAAAFr9/4c=")</f>
        <v>#VALUE!</v>
      </c>
      <c r="EG6" t="e">
        <f>AND(List1!Q53,"AAAAAFr9/4g=")</f>
        <v>#VALUE!</v>
      </c>
      <c r="EH6" t="e">
        <f>AND(List1!R53,"AAAAAFr9/4k=")</f>
        <v>#VALUE!</v>
      </c>
      <c r="EI6" t="e">
        <f>AND(List1!S53,"AAAAAFr9/4o=")</f>
        <v>#VALUE!</v>
      </c>
      <c r="EJ6" t="e">
        <f>AND(List1!T53,"AAAAAFr9/4s=")</f>
        <v>#VALUE!</v>
      </c>
      <c r="EK6" t="e">
        <f>AND(List1!U53,"AAAAAFr9/4w=")</f>
        <v>#VALUE!</v>
      </c>
      <c r="EL6" t="e">
        <f>AND(List1!V53,"AAAAAFr9/40=")</f>
        <v>#VALUE!</v>
      </c>
      <c r="EM6" t="e">
        <f>AND(List1!W53,"AAAAAFr9/44=")</f>
        <v>#VALUE!</v>
      </c>
      <c r="EN6" t="e">
        <f>AND(List1!X53,"AAAAAFr9/48=")</f>
        <v>#VALUE!</v>
      </c>
      <c r="EO6" t="e">
        <f>AND(List1!Y53,"AAAAAFr9/5A=")</f>
        <v>#VALUE!</v>
      </c>
      <c r="EP6" t="e">
        <f>AND(List1!Z53,"AAAAAFr9/5E=")</f>
        <v>#VALUE!</v>
      </c>
      <c r="EQ6" t="e">
        <f>AND(List1!AA53,"AAAAAFr9/5I=")</f>
        <v>#VALUE!</v>
      </c>
      <c r="ER6" t="e">
        <f>AND(List1!AB53,"AAAAAFr9/5M=")</f>
        <v>#VALUE!</v>
      </c>
      <c r="ES6">
        <f>IF(List1!54:54,"AAAAAFr9/5Q=",0)</f>
        <v>0</v>
      </c>
      <c r="ET6" t="e">
        <f>AND(List1!B54,"AAAAAFr9/5U=")</f>
        <v>#VALUE!</v>
      </c>
      <c r="EU6" t="e">
        <f>AND(List1!C54,"AAAAAFr9/5Y=")</f>
        <v>#VALUE!</v>
      </c>
      <c r="EV6" t="e">
        <f>AND(List1!D54,"AAAAAFr9/5c=")</f>
        <v>#VALUE!</v>
      </c>
      <c r="EW6" t="e">
        <f>AND(List1!E54,"AAAAAFr9/5g=")</f>
        <v>#VALUE!</v>
      </c>
      <c r="EX6" t="e">
        <f>AND(List1!F54,"AAAAAFr9/5k=")</f>
        <v>#VALUE!</v>
      </c>
      <c r="EY6" t="e">
        <f>AND(List1!G54,"AAAAAFr9/5o=")</f>
        <v>#VALUE!</v>
      </c>
      <c r="EZ6" t="e">
        <f>AND(List1!H54,"AAAAAFr9/5s=")</f>
        <v>#VALUE!</v>
      </c>
      <c r="FA6" t="e">
        <f>AND(List1!I54,"AAAAAFr9/5w=")</f>
        <v>#VALUE!</v>
      </c>
      <c r="FB6" t="e">
        <f>AND(List1!J54,"AAAAAFr9/50=")</f>
        <v>#VALUE!</v>
      </c>
      <c r="FC6" t="e">
        <f>AND(List1!K54,"AAAAAFr9/54=")</f>
        <v>#VALUE!</v>
      </c>
      <c r="FD6" t="e">
        <f>AND(List1!L54,"AAAAAFr9/58=")</f>
        <v>#VALUE!</v>
      </c>
      <c r="FE6" t="e">
        <f>AND(List1!M54,"AAAAAFr9/6A=")</f>
        <v>#VALUE!</v>
      </c>
      <c r="FF6" t="e">
        <f>AND(List1!N54,"AAAAAFr9/6E=")</f>
        <v>#VALUE!</v>
      </c>
      <c r="FG6" t="e">
        <f>AND(List1!O54,"AAAAAFr9/6I=")</f>
        <v>#VALUE!</v>
      </c>
      <c r="FH6" t="e">
        <f>AND(List1!P54,"AAAAAFr9/6M=")</f>
        <v>#VALUE!</v>
      </c>
      <c r="FI6" t="e">
        <f>AND(List1!Q54,"AAAAAFr9/6Q=")</f>
        <v>#VALUE!</v>
      </c>
      <c r="FJ6" t="e">
        <f>AND(List1!R54,"AAAAAFr9/6U=")</f>
        <v>#VALUE!</v>
      </c>
      <c r="FK6" t="e">
        <f>AND(List1!S54,"AAAAAFr9/6Y=")</f>
        <v>#VALUE!</v>
      </c>
      <c r="FL6" t="e">
        <f>AND(List1!T54,"AAAAAFr9/6c=")</f>
        <v>#VALUE!</v>
      </c>
      <c r="FM6" t="e">
        <f>AND(List1!U54,"AAAAAFr9/6g=")</f>
        <v>#VALUE!</v>
      </c>
      <c r="FN6" t="e">
        <f>AND(List1!V54,"AAAAAFr9/6k=")</f>
        <v>#VALUE!</v>
      </c>
      <c r="FO6" t="e">
        <f>AND(List1!W54,"AAAAAFr9/6o=")</f>
        <v>#VALUE!</v>
      </c>
      <c r="FP6" t="e">
        <f>AND(List1!X54,"AAAAAFr9/6s=")</f>
        <v>#VALUE!</v>
      </c>
      <c r="FQ6" t="e">
        <f>AND(List1!Y54,"AAAAAFr9/6w=")</f>
        <v>#VALUE!</v>
      </c>
      <c r="FR6" t="e">
        <f>AND(List1!Z54,"AAAAAFr9/60=")</f>
        <v>#VALUE!</v>
      </c>
      <c r="FS6" t="e">
        <f>AND(List1!AA54,"AAAAAFr9/64=")</f>
        <v>#VALUE!</v>
      </c>
      <c r="FT6" t="e">
        <f>AND(List1!AB54,"AAAAAFr9/68=")</f>
        <v>#VALUE!</v>
      </c>
      <c r="FU6">
        <f>IF(List1!55:55,"AAAAAFr9/7A=",0)</f>
        <v>0</v>
      </c>
      <c r="FV6" t="e">
        <f>AND(List1!B55,"AAAAAFr9/7E=")</f>
        <v>#VALUE!</v>
      </c>
      <c r="FW6" t="e">
        <f>AND(List1!C55,"AAAAAFr9/7I=")</f>
        <v>#VALUE!</v>
      </c>
      <c r="FX6" t="e">
        <f>AND(List1!D55,"AAAAAFr9/7M=")</f>
        <v>#VALUE!</v>
      </c>
      <c r="FY6" t="e">
        <f>AND(List1!E55,"AAAAAFr9/7Q=")</f>
        <v>#VALUE!</v>
      </c>
      <c r="FZ6" t="e">
        <f>AND(List1!F55,"AAAAAFr9/7U=")</f>
        <v>#VALUE!</v>
      </c>
      <c r="GA6" t="e">
        <f>AND(List1!G55,"AAAAAFr9/7Y=")</f>
        <v>#VALUE!</v>
      </c>
      <c r="GB6" t="e">
        <f>AND(List1!H55,"AAAAAFr9/7c=")</f>
        <v>#VALUE!</v>
      </c>
      <c r="GC6" t="e">
        <f>AND(List1!I55,"AAAAAFr9/7g=")</f>
        <v>#VALUE!</v>
      </c>
      <c r="GD6" t="e">
        <f>AND(List1!J55,"AAAAAFr9/7k=")</f>
        <v>#VALUE!</v>
      </c>
      <c r="GE6" t="e">
        <f>AND(List1!K55,"AAAAAFr9/7o=")</f>
        <v>#VALUE!</v>
      </c>
      <c r="GF6" t="e">
        <f>AND(List1!L55,"AAAAAFr9/7s=")</f>
        <v>#VALUE!</v>
      </c>
      <c r="GG6" t="e">
        <f>AND(List1!M55,"AAAAAFr9/7w=")</f>
        <v>#VALUE!</v>
      </c>
      <c r="GH6" t="e">
        <f>AND(List1!N55,"AAAAAFr9/70=")</f>
        <v>#VALUE!</v>
      </c>
      <c r="GI6" t="e">
        <f>AND(List1!O55,"AAAAAFr9/74=")</f>
        <v>#VALUE!</v>
      </c>
      <c r="GJ6" t="e">
        <f>AND(List1!P55,"AAAAAFr9/78=")</f>
        <v>#VALUE!</v>
      </c>
      <c r="GK6" t="e">
        <f>AND(List1!Q55,"AAAAAFr9/8A=")</f>
        <v>#VALUE!</v>
      </c>
      <c r="GL6" t="e">
        <f>AND(List1!R55,"AAAAAFr9/8E=")</f>
        <v>#VALUE!</v>
      </c>
      <c r="GM6" t="e">
        <f>AND(List1!S55,"AAAAAFr9/8I=")</f>
        <v>#VALUE!</v>
      </c>
      <c r="GN6" t="e">
        <f>AND(List1!T55,"AAAAAFr9/8M=")</f>
        <v>#VALUE!</v>
      </c>
      <c r="GO6" t="e">
        <f>AND(List1!U55,"AAAAAFr9/8Q=")</f>
        <v>#VALUE!</v>
      </c>
      <c r="GP6" t="e">
        <f>AND(List1!V55,"AAAAAFr9/8U=")</f>
        <v>#VALUE!</v>
      </c>
      <c r="GQ6" t="e">
        <f>AND(List1!W55,"AAAAAFr9/8Y=")</f>
        <v>#VALUE!</v>
      </c>
      <c r="GR6" t="e">
        <f>AND(List1!X55,"AAAAAFr9/8c=")</f>
        <v>#VALUE!</v>
      </c>
      <c r="GS6" t="e">
        <f>AND(List1!Y55,"AAAAAFr9/8g=")</f>
        <v>#VALUE!</v>
      </c>
      <c r="GT6" t="e">
        <f>AND(List1!Z55,"AAAAAFr9/8k=")</f>
        <v>#VALUE!</v>
      </c>
      <c r="GU6" t="e">
        <f>AND(List1!AA55,"AAAAAFr9/8o=")</f>
        <v>#VALUE!</v>
      </c>
      <c r="GV6" t="e">
        <f>AND(List1!AB55,"AAAAAFr9/8s=")</f>
        <v>#VALUE!</v>
      </c>
      <c r="GW6">
        <f>IF(List1!56:56,"AAAAAFr9/8w=",0)</f>
        <v>0</v>
      </c>
      <c r="GX6" t="e">
        <f>AND(List1!B56,"AAAAAFr9/80=")</f>
        <v>#VALUE!</v>
      </c>
      <c r="GY6" t="e">
        <f>AND(List1!C56,"AAAAAFr9/84=")</f>
        <v>#VALUE!</v>
      </c>
      <c r="GZ6" t="e">
        <f>AND(List1!D56,"AAAAAFr9/88=")</f>
        <v>#VALUE!</v>
      </c>
      <c r="HA6" t="e">
        <f>AND(List1!E56,"AAAAAFr9/9A=")</f>
        <v>#VALUE!</v>
      </c>
      <c r="HB6" t="e">
        <f>AND(List1!F56,"AAAAAFr9/9E=")</f>
        <v>#VALUE!</v>
      </c>
      <c r="HC6" t="e">
        <f>AND(List1!G56,"AAAAAFr9/9I=")</f>
        <v>#VALUE!</v>
      </c>
      <c r="HD6" t="e">
        <f>AND(List1!H56,"AAAAAFr9/9M=")</f>
        <v>#VALUE!</v>
      </c>
      <c r="HE6" t="e">
        <f>AND(List1!I56,"AAAAAFr9/9Q=")</f>
        <v>#VALUE!</v>
      </c>
      <c r="HF6" t="e">
        <f>AND(List1!J56,"AAAAAFr9/9U=")</f>
        <v>#VALUE!</v>
      </c>
      <c r="HG6" t="e">
        <f>AND(List1!K56,"AAAAAFr9/9Y=")</f>
        <v>#VALUE!</v>
      </c>
      <c r="HH6" t="e">
        <f>AND(List1!L56,"AAAAAFr9/9c=")</f>
        <v>#VALUE!</v>
      </c>
      <c r="HI6" t="e">
        <f>AND(List1!M56,"AAAAAFr9/9g=")</f>
        <v>#VALUE!</v>
      </c>
      <c r="HJ6" t="e">
        <f>AND(List1!N56,"AAAAAFr9/9k=")</f>
        <v>#VALUE!</v>
      </c>
      <c r="HK6" t="e">
        <f>AND(List1!O56,"AAAAAFr9/9o=")</f>
        <v>#VALUE!</v>
      </c>
      <c r="HL6" t="e">
        <f>AND(List1!P56,"AAAAAFr9/9s=")</f>
        <v>#VALUE!</v>
      </c>
      <c r="HM6" t="e">
        <f>AND(List1!Q56,"AAAAAFr9/9w=")</f>
        <v>#VALUE!</v>
      </c>
      <c r="HN6" t="e">
        <f>AND(List1!R56,"AAAAAFr9/90=")</f>
        <v>#VALUE!</v>
      </c>
      <c r="HO6" t="e">
        <f>AND(List1!S56,"AAAAAFr9/94=")</f>
        <v>#VALUE!</v>
      </c>
      <c r="HP6" t="e">
        <f>AND(List1!T56,"AAAAAFr9/98=")</f>
        <v>#VALUE!</v>
      </c>
      <c r="HQ6" t="e">
        <f>AND(List1!U56,"AAAAAFr9/+A=")</f>
        <v>#VALUE!</v>
      </c>
      <c r="HR6" t="e">
        <f>AND(List1!V56,"AAAAAFr9/+E=")</f>
        <v>#VALUE!</v>
      </c>
      <c r="HS6" t="e">
        <f>AND(List1!W56,"AAAAAFr9/+I=")</f>
        <v>#VALUE!</v>
      </c>
      <c r="HT6" t="e">
        <f>AND(List1!X56,"AAAAAFr9/+M=")</f>
        <v>#VALUE!</v>
      </c>
      <c r="HU6" t="e">
        <f>AND(List1!Y56,"AAAAAFr9/+Q=")</f>
        <v>#VALUE!</v>
      </c>
      <c r="HV6" t="e">
        <f>AND(List1!Z56,"AAAAAFr9/+U=")</f>
        <v>#VALUE!</v>
      </c>
      <c r="HW6" t="e">
        <f>AND(List1!AA56,"AAAAAFr9/+Y=")</f>
        <v>#VALUE!</v>
      </c>
      <c r="HX6" t="e">
        <f>AND(List1!AB56,"AAAAAFr9/+c=")</f>
        <v>#VALUE!</v>
      </c>
      <c r="HY6">
        <f>IF(List1!57:57,"AAAAAFr9/+g=",0)</f>
        <v>0</v>
      </c>
      <c r="HZ6" t="e">
        <f>AND(List1!B57,"AAAAAFr9/+k=")</f>
        <v>#VALUE!</v>
      </c>
      <c r="IA6" t="e">
        <f>AND(List1!C57,"AAAAAFr9/+o=")</f>
        <v>#VALUE!</v>
      </c>
      <c r="IB6" t="e">
        <f>AND(List1!D57,"AAAAAFr9/+s=")</f>
        <v>#VALUE!</v>
      </c>
      <c r="IC6" t="e">
        <f>AND(List1!E57,"AAAAAFr9/+w=")</f>
        <v>#VALUE!</v>
      </c>
      <c r="ID6" t="e">
        <f>AND(List1!F57,"AAAAAFr9/+0=")</f>
        <v>#VALUE!</v>
      </c>
      <c r="IE6" t="e">
        <f>AND(List1!G57,"AAAAAFr9/+4=")</f>
        <v>#VALUE!</v>
      </c>
      <c r="IF6" t="e">
        <f>AND(List1!H57,"AAAAAFr9/+8=")</f>
        <v>#VALUE!</v>
      </c>
      <c r="IG6" t="e">
        <f>AND(List1!I57,"AAAAAFr9//A=")</f>
        <v>#VALUE!</v>
      </c>
      <c r="IH6" t="e">
        <f>AND(List1!J57,"AAAAAFr9//E=")</f>
        <v>#VALUE!</v>
      </c>
      <c r="II6" t="e">
        <f>AND(List1!K57,"AAAAAFr9//I=")</f>
        <v>#VALUE!</v>
      </c>
      <c r="IJ6" t="e">
        <f>AND(List1!L57,"AAAAAFr9//M=")</f>
        <v>#VALUE!</v>
      </c>
      <c r="IK6" t="e">
        <f>AND(List1!M57,"AAAAAFr9//Q=")</f>
        <v>#VALUE!</v>
      </c>
      <c r="IL6" t="e">
        <f>AND(List1!N57,"AAAAAFr9//U=")</f>
        <v>#VALUE!</v>
      </c>
      <c r="IM6" t="e">
        <f>AND(List1!O57,"AAAAAFr9//Y=")</f>
        <v>#VALUE!</v>
      </c>
      <c r="IN6" t="e">
        <f>AND(List1!P57,"AAAAAFr9//c=")</f>
        <v>#VALUE!</v>
      </c>
      <c r="IO6" t="e">
        <f>AND(List1!Q57,"AAAAAFr9//g=")</f>
        <v>#VALUE!</v>
      </c>
      <c r="IP6" t="e">
        <f>AND(List1!R57,"AAAAAFr9//k=")</f>
        <v>#VALUE!</v>
      </c>
      <c r="IQ6" t="e">
        <f>AND(List1!S57,"AAAAAFr9//o=")</f>
        <v>#VALUE!</v>
      </c>
      <c r="IR6" t="e">
        <f>AND(List1!T57,"AAAAAFr9//s=")</f>
        <v>#VALUE!</v>
      </c>
      <c r="IS6" t="e">
        <f>AND(List1!U57,"AAAAAFr9//w=")</f>
        <v>#VALUE!</v>
      </c>
      <c r="IT6" t="e">
        <f>AND(List1!V57,"AAAAAFr9//0=")</f>
        <v>#VALUE!</v>
      </c>
      <c r="IU6" t="e">
        <f>AND(List1!W57,"AAAAAFr9//4=")</f>
        <v>#VALUE!</v>
      </c>
      <c r="IV6" t="e">
        <f>AND(List1!X57,"AAAAAFr9//8=")</f>
        <v>#VALUE!</v>
      </c>
    </row>
    <row r="7" spans="1:256" x14ac:dyDescent="0.25">
      <c r="A7" t="e">
        <f>AND(List1!Y57,"AAAAABzXnAA=")</f>
        <v>#VALUE!</v>
      </c>
      <c r="B7" t="e">
        <f>AND(List1!Z57,"AAAAABzXnAE=")</f>
        <v>#VALUE!</v>
      </c>
      <c r="C7" t="e">
        <f>AND(List1!AA57,"AAAAABzXnAI=")</f>
        <v>#VALUE!</v>
      </c>
      <c r="D7" t="e">
        <f>AND(List1!AB57,"AAAAABzXnAM=")</f>
        <v>#VALUE!</v>
      </c>
      <c r="E7">
        <f>IF(List1!58:58,"AAAAABzXnAQ=",0)</f>
        <v>0</v>
      </c>
      <c r="F7" t="e">
        <f>AND(List1!B58,"AAAAABzXnAU=")</f>
        <v>#VALUE!</v>
      </c>
      <c r="G7" t="e">
        <f>AND(List1!C58,"AAAAABzXnAY=")</f>
        <v>#VALUE!</v>
      </c>
      <c r="H7" t="e">
        <f>AND(List1!D58,"AAAAABzXnAc=")</f>
        <v>#VALUE!</v>
      </c>
      <c r="I7" t="e">
        <f>AND(List1!E58,"AAAAABzXnAg=")</f>
        <v>#VALUE!</v>
      </c>
      <c r="J7" t="e">
        <f>AND(List1!F58,"AAAAABzXnAk=")</f>
        <v>#VALUE!</v>
      </c>
      <c r="K7" t="e">
        <f>AND(List1!G58,"AAAAABzXnAo=")</f>
        <v>#VALUE!</v>
      </c>
      <c r="L7" t="e">
        <f>AND(List1!H58,"AAAAABzXnAs=")</f>
        <v>#VALUE!</v>
      </c>
      <c r="M7" t="e">
        <f>AND(List1!I58,"AAAAABzXnAw=")</f>
        <v>#VALUE!</v>
      </c>
      <c r="N7" t="e">
        <f>AND(List1!J58,"AAAAABzXnA0=")</f>
        <v>#VALUE!</v>
      </c>
      <c r="O7" t="e">
        <f>AND(List1!K58,"AAAAABzXnA4=")</f>
        <v>#VALUE!</v>
      </c>
      <c r="P7" t="e">
        <f>AND(List1!L58,"AAAAABzXnA8=")</f>
        <v>#VALUE!</v>
      </c>
      <c r="Q7" t="e">
        <f>AND(List1!M58,"AAAAABzXnBA=")</f>
        <v>#VALUE!</v>
      </c>
      <c r="R7" t="e">
        <f>AND(List1!N58,"AAAAABzXnBE=")</f>
        <v>#VALUE!</v>
      </c>
      <c r="S7" t="e">
        <f>AND(List1!O58,"AAAAABzXnBI=")</f>
        <v>#VALUE!</v>
      </c>
      <c r="T7" t="e">
        <f>AND(List1!P58,"AAAAABzXnBM=")</f>
        <v>#VALUE!</v>
      </c>
      <c r="U7" t="e">
        <f>AND(List1!Q58,"AAAAABzXnBQ=")</f>
        <v>#VALUE!</v>
      </c>
      <c r="V7" t="e">
        <f>AND(List1!R58,"AAAAABzXnBU=")</f>
        <v>#VALUE!</v>
      </c>
      <c r="W7" t="e">
        <f>AND(List1!S58,"AAAAABzXnBY=")</f>
        <v>#VALUE!</v>
      </c>
      <c r="X7" t="e">
        <f>AND(List1!T58,"AAAAABzXnBc=")</f>
        <v>#VALUE!</v>
      </c>
      <c r="Y7" t="e">
        <f>AND(List1!U58,"AAAAABzXnBg=")</f>
        <v>#VALUE!</v>
      </c>
      <c r="Z7" t="e">
        <f>AND(List1!V58,"AAAAABzXnBk=")</f>
        <v>#VALUE!</v>
      </c>
      <c r="AA7" t="e">
        <f>AND(List1!W58,"AAAAABzXnBo=")</f>
        <v>#VALUE!</v>
      </c>
      <c r="AB7" t="e">
        <f>AND(List1!X58,"AAAAABzXnBs=")</f>
        <v>#VALUE!</v>
      </c>
      <c r="AC7" t="e">
        <f>AND(List1!Y58,"AAAAABzXnBw=")</f>
        <v>#VALUE!</v>
      </c>
      <c r="AD7" t="e">
        <f>AND(List1!Z58,"AAAAABzXnB0=")</f>
        <v>#VALUE!</v>
      </c>
      <c r="AE7" t="e">
        <f>AND(List1!AA58,"AAAAABzXnB4=")</f>
        <v>#VALUE!</v>
      </c>
      <c r="AF7" t="e">
        <f>AND(List1!AB58,"AAAAABzXnB8=")</f>
        <v>#VALUE!</v>
      </c>
      <c r="AG7">
        <f>IF(List1!59:59,"AAAAABzXnCA=",0)</f>
        <v>0</v>
      </c>
      <c r="AH7" t="e">
        <f>AND(List1!B59,"AAAAABzXnCE=")</f>
        <v>#VALUE!</v>
      </c>
      <c r="AI7" t="e">
        <f>AND(List1!C59,"AAAAABzXnCI=")</f>
        <v>#VALUE!</v>
      </c>
      <c r="AJ7" t="e">
        <f>AND(List1!D59,"AAAAABzXnCM=")</f>
        <v>#VALUE!</v>
      </c>
      <c r="AK7" t="e">
        <f>AND(List1!E59,"AAAAABzXnCQ=")</f>
        <v>#VALUE!</v>
      </c>
      <c r="AL7" t="e">
        <f>AND(List1!F59,"AAAAABzXnCU=")</f>
        <v>#VALUE!</v>
      </c>
      <c r="AM7" t="e">
        <f>AND(List1!G59,"AAAAABzXnCY=")</f>
        <v>#VALUE!</v>
      </c>
      <c r="AN7" t="e">
        <f>AND(List1!H59,"AAAAABzXnCc=")</f>
        <v>#VALUE!</v>
      </c>
      <c r="AO7" t="e">
        <f>AND(List1!I59,"AAAAABzXnCg=")</f>
        <v>#VALUE!</v>
      </c>
      <c r="AP7" t="e">
        <f>AND(List1!J59,"AAAAABzXnCk=")</f>
        <v>#VALUE!</v>
      </c>
      <c r="AQ7" t="e">
        <f>AND(List1!K59,"AAAAABzXnCo=")</f>
        <v>#VALUE!</v>
      </c>
      <c r="AR7" t="e">
        <f>AND(List1!L59,"AAAAABzXnCs=")</f>
        <v>#VALUE!</v>
      </c>
      <c r="AS7" t="e">
        <f>AND(List1!M59,"AAAAABzXnCw=")</f>
        <v>#VALUE!</v>
      </c>
      <c r="AT7" t="e">
        <f>AND(List1!N59,"AAAAABzXnC0=")</f>
        <v>#VALUE!</v>
      </c>
      <c r="AU7" t="e">
        <f>AND(List1!O59,"AAAAABzXnC4=")</f>
        <v>#VALUE!</v>
      </c>
      <c r="AV7" t="e">
        <f>AND(List1!P59,"AAAAABzXnC8=")</f>
        <v>#VALUE!</v>
      </c>
      <c r="AW7" t="e">
        <f>AND(List1!Q59,"AAAAABzXnDA=")</f>
        <v>#VALUE!</v>
      </c>
      <c r="AX7" t="e">
        <f>AND(List1!R59,"AAAAABzXnDE=")</f>
        <v>#VALUE!</v>
      </c>
      <c r="AY7" t="e">
        <f>AND(List1!S59,"AAAAABzXnDI=")</f>
        <v>#VALUE!</v>
      </c>
      <c r="AZ7" t="e">
        <f>AND(List1!T59,"AAAAABzXnDM=")</f>
        <v>#VALUE!</v>
      </c>
      <c r="BA7" t="e">
        <f>AND(List1!U59,"AAAAABzXnDQ=")</f>
        <v>#VALUE!</v>
      </c>
      <c r="BB7" t="e">
        <f>AND(List1!V59,"AAAAABzXnDU=")</f>
        <v>#VALUE!</v>
      </c>
      <c r="BC7" t="e">
        <f>AND(List1!W59,"AAAAABzXnDY=")</f>
        <v>#VALUE!</v>
      </c>
      <c r="BD7" t="e">
        <f>AND(List1!X59,"AAAAABzXnDc=")</f>
        <v>#VALUE!</v>
      </c>
      <c r="BE7" t="e">
        <f>AND(List1!Y59,"AAAAABzXnDg=")</f>
        <v>#VALUE!</v>
      </c>
      <c r="BF7" t="e">
        <f>AND(List1!Z59,"AAAAABzXnDk=")</f>
        <v>#VALUE!</v>
      </c>
      <c r="BG7" t="e">
        <f>AND(List1!AA59,"AAAAABzXnDo=")</f>
        <v>#VALUE!</v>
      </c>
      <c r="BH7" t="e">
        <f>AND(List1!AB59,"AAAAABzXnDs=")</f>
        <v>#VALUE!</v>
      </c>
      <c r="BI7">
        <f>IF(List1!60:60,"AAAAABzXnDw=",0)</f>
        <v>0</v>
      </c>
      <c r="BJ7" t="e">
        <f>AND(List1!B60,"AAAAABzXnD0=")</f>
        <v>#VALUE!</v>
      </c>
      <c r="BK7" t="e">
        <f>AND(List1!C60,"AAAAABzXnD4=")</f>
        <v>#VALUE!</v>
      </c>
      <c r="BL7" t="e">
        <f>AND(List1!D60,"AAAAABzXnD8=")</f>
        <v>#VALUE!</v>
      </c>
      <c r="BM7" t="e">
        <f>AND(List1!E60,"AAAAABzXnEA=")</f>
        <v>#VALUE!</v>
      </c>
      <c r="BN7" t="e">
        <f>AND(List1!F60,"AAAAABzXnEE=")</f>
        <v>#VALUE!</v>
      </c>
      <c r="BO7" t="e">
        <f>AND(List1!G60,"AAAAABzXnEI=")</f>
        <v>#VALUE!</v>
      </c>
      <c r="BP7" t="e">
        <f>AND(List1!H60,"AAAAABzXnEM=")</f>
        <v>#VALUE!</v>
      </c>
      <c r="BQ7" t="e">
        <f>AND(List1!I60,"AAAAABzXnEQ=")</f>
        <v>#VALUE!</v>
      </c>
      <c r="BR7" t="e">
        <f>AND(List1!J60,"AAAAABzXnEU=")</f>
        <v>#VALUE!</v>
      </c>
      <c r="BS7" t="e">
        <f>AND(List1!K60,"AAAAABzXnEY=")</f>
        <v>#VALUE!</v>
      </c>
      <c r="BT7" t="e">
        <f>AND(List1!L60,"AAAAABzXnEc=")</f>
        <v>#VALUE!</v>
      </c>
      <c r="BU7" t="e">
        <f>AND(List1!M60,"AAAAABzXnEg=")</f>
        <v>#VALUE!</v>
      </c>
      <c r="BV7" t="e">
        <f>AND(List1!N60,"AAAAABzXnEk=")</f>
        <v>#VALUE!</v>
      </c>
      <c r="BW7" t="e">
        <f>AND(List1!O60,"AAAAABzXnEo=")</f>
        <v>#VALUE!</v>
      </c>
      <c r="BX7" t="e">
        <f>AND(List1!P60,"AAAAABzXnEs=")</f>
        <v>#VALUE!</v>
      </c>
      <c r="BY7" t="e">
        <f>AND(List1!Q60,"AAAAABzXnEw=")</f>
        <v>#VALUE!</v>
      </c>
      <c r="BZ7" t="e">
        <f>AND(List1!R60,"AAAAABzXnE0=")</f>
        <v>#VALUE!</v>
      </c>
      <c r="CA7" t="e">
        <f>AND(List1!S60,"AAAAABzXnE4=")</f>
        <v>#VALUE!</v>
      </c>
      <c r="CB7" t="e">
        <f>AND(List1!T60,"AAAAABzXnE8=")</f>
        <v>#VALUE!</v>
      </c>
      <c r="CC7" t="e">
        <f>AND(List1!U60,"AAAAABzXnFA=")</f>
        <v>#VALUE!</v>
      </c>
      <c r="CD7" t="e">
        <f>AND(List1!V60,"AAAAABzXnFE=")</f>
        <v>#VALUE!</v>
      </c>
      <c r="CE7" t="e">
        <f>AND(List1!W60,"AAAAABzXnFI=")</f>
        <v>#VALUE!</v>
      </c>
      <c r="CF7" t="e">
        <f>AND(List1!X60,"AAAAABzXnFM=")</f>
        <v>#VALUE!</v>
      </c>
      <c r="CG7" t="e">
        <f>AND(List1!Y60,"AAAAABzXnFQ=")</f>
        <v>#VALUE!</v>
      </c>
      <c r="CH7" t="e">
        <f>AND(List1!Z60,"AAAAABzXnFU=")</f>
        <v>#VALUE!</v>
      </c>
      <c r="CI7" t="e">
        <f>AND(List1!AA60,"AAAAABzXnFY=")</f>
        <v>#VALUE!</v>
      </c>
      <c r="CJ7" t="e">
        <f>AND(List1!AB60,"AAAAABzXnFc=")</f>
        <v>#VALUE!</v>
      </c>
      <c r="CK7">
        <f>IF(List1!61:61,"AAAAABzXnFg=",0)</f>
        <v>0</v>
      </c>
      <c r="CL7" t="e">
        <f>AND(List1!B61,"AAAAABzXnFk=")</f>
        <v>#VALUE!</v>
      </c>
      <c r="CM7" t="e">
        <f>AND(List1!C61,"AAAAABzXnFo=")</f>
        <v>#VALUE!</v>
      </c>
      <c r="CN7" t="e">
        <f>AND(List1!D61,"AAAAABzXnFs=")</f>
        <v>#VALUE!</v>
      </c>
      <c r="CO7" t="e">
        <f>AND(List1!E61,"AAAAABzXnFw=")</f>
        <v>#VALUE!</v>
      </c>
      <c r="CP7" t="e">
        <f>AND(List1!F61,"AAAAABzXnF0=")</f>
        <v>#VALUE!</v>
      </c>
      <c r="CQ7" t="e">
        <f>AND(List1!G61,"AAAAABzXnF4=")</f>
        <v>#VALUE!</v>
      </c>
      <c r="CR7" t="e">
        <f>AND(List1!H61,"AAAAABzXnF8=")</f>
        <v>#VALUE!</v>
      </c>
      <c r="CS7" t="e">
        <f>AND(List1!I61,"AAAAABzXnGA=")</f>
        <v>#VALUE!</v>
      </c>
      <c r="CT7" t="e">
        <f>AND(List1!J61,"AAAAABzXnGE=")</f>
        <v>#VALUE!</v>
      </c>
      <c r="CU7" t="e">
        <f>AND(List1!K61,"AAAAABzXnGI=")</f>
        <v>#VALUE!</v>
      </c>
      <c r="CV7" t="e">
        <f>AND(List1!L61,"AAAAABzXnGM=")</f>
        <v>#VALUE!</v>
      </c>
      <c r="CW7" t="e">
        <f>AND(List1!M61,"AAAAABzXnGQ=")</f>
        <v>#VALUE!</v>
      </c>
      <c r="CX7" t="e">
        <f>AND(List1!N61,"AAAAABzXnGU=")</f>
        <v>#VALUE!</v>
      </c>
      <c r="CY7" t="e">
        <f>AND(List1!O61,"AAAAABzXnGY=")</f>
        <v>#VALUE!</v>
      </c>
      <c r="CZ7" t="e">
        <f>AND(List1!P61,"AAAAABzXnGc=")</f>
        <v>#VALUE!</v>
      </c>
      <c r="DA7" t="e">
        <f>AND(List1!Q61,"AAAAABzXnGg=")</f>
        <v>#VALUE!</v>
      </c>
      <c r="DB7" t="e">
        <f>AND(List1!R61,"AAAAABzXnGk=")</f>
        <v>#VALUE!</v>
      </c>
      <c r="DC7" t="e">
        <f>AND(List1!S61,"AAAAABzXnGo=")</f>
        <v>#VALUE!</v>
      </c>
      <c r="DD7" t="e">
        <f>AND(List1!T61,"AAAAABzXnGs=")</f>
        <v>#VALUE!</v>
      </c>
      <c r="DE7" t="e">
        <f>AND(List1!U61,"AAAAABzXnGw=")</f>
        <v>#VALUE!</v>
      </c>
      <c r="DF7" t="e">
        <f>AND(List1!V61,"AAAAABzXnG0=")</f>
        <v>#VALUE!</v>
      </c>
      <c r="DG7" t="e">
        <f>AND(List1!W61,"AAAAABzXnG4=")</f>
        <v>#VALUE!</v>
      </c>
      <c r="DH7" t="e">
        <f>AND(List1!X61,"AAAAABzXnG8=")</f>
        <v>#VALUE!</v>
      </c>
      <c r="DI7" t="e">
        <f>AND(List1!Y61,"AAAAABzXnHA=")</f>
        <v>#VALUE!</v>
      </c>
      <c r="DJ7" t="e">
        <f>AND(List1!Z61,"AAAAABzXnHE=")</f>
        <v>#VALUE!</v>
      </c>
      <c r="DK7" t="e">
        <f>AND(List1!AA61,"AAAAABzXnHI=")</f>
        <v>#VALUE!</v>
      </c>
      <c r="DL7" t="e">
        <f>AND(List1!AB61,"AAAAABzXnHM=")</f>
        <v>#VALUE!</v>
      </c>
      <c r="DM7">
        <f>IF(List1!62:62,"AAAAABzXnHQ=",0)</f>
        <v>0</v>
      </c>
      <c r="DN7" t="e">
        <f>AND(List1!B62,"AAAAABzXnHU=")</f>
        <v>#VALUE!</v>
      </c>
      <c r="DO7" t="e">
        <f>AND(List1!C62,"AAAAABzXnHY=")</f>
        <v>#VALUE!</v>
      </c>
      <c r="DP7" t="e">
        <f>AND(List1!D62,"AAAAABzXnHc=")</f>
        <v>#VALUE!</v>
      </c>
      <c r="DQ7" t="e">
        <f>AND(List1!E62,"AAAAABzXnHg=")</f>
        <v>#VALUE!</v>
      </c>
      <c r="DR7" t="e">
        <f>AND(List1!F62,"AAAAABzXnHk=")</f>
        <v>#VALUE!</v>
      </c>
      <c r="DS7" t="e">
        <f>AND(List1!G62,"AAAAABzXnHo=")</f>
        <v>#VALUE!</v>
      </c>
      <c r="DT7" t="e">
        <f>AND(List1!H62,"AAAAABzXnHs=")</f>
        <v>#VALUE!</v>
      </c>
      <c r="DU7" t="e">
        <f>AND(List1!I62,"AAAAABzXnHw=")</f>
        <v>#VALUE!</v>
      </c>
      <c r="DV7" t="e">
        <f>AND(List1!J62,"AAAAABzXnH0=")</f>
        <v>#VALUE!</v>
      </c>
      <c r="DW7" t="e">
        <f>AND(List1!K62,"AAAAABzXnH4=")</f>
        <v>#VALUE!</v>
      </c>
      <c r="DX7" t="e">
        <f>AND(List1!L62,"AAAAABzXnH8=")</f>
        <v>#VALUE!</v>
      </c>
      <c r="DY7" t="e">
        <f>AND(List1!M62,"AAAAABzXnIA=")</f>
        <v>#VALUE!</v>
      </c>
      <c r="DZ7" t="e">
        <f>AND(List1!N62,"AAAAABzXnIE=")</f>
        <v>#VALUE!</v>
      </c>
      <c r="EA7" t="e">
        <f>AND(List1!O62,"AAAAABzXnII=")</f>
        <v>#VALUE!</v>
      </c>
      <c r="EB7" t="e">
        <f>AND(List1!P62,"AAAAABzXnIM=")</f>
        <v>#VALUE!</v>
      </c>
      <c r="EC7" t="e">
        <f>AND(List1!Q62,"AAAAABzXnIQ=")</f>
        <v>#VALUE!</v>
      </c>
      <c r="ED7" t="e">
        <f>AND(List1!R62,"AAAAABzXnIU=")</f>
        <v>#VALUE!</v>
      </c>
      <c r="EE7" t="e">
        <f>AND(List1!S62,"AAAAABzXnIY=")</f>
        <v>#VALUE!</v>
      </c>
      <c r="EF7" t="e">
        <f>AND(List1!T62,"AAAAABzXnIc=")</f>
        <v>#VALUE!</v>
      </c>
      <c r="EG7" t="e">
        <f>AND(List1!U62,"AAAAABzXnIg=")</f>
        <v>#VALUE!</v>
      </c>
      <c r="EH7" t="e">
        <f>AND(List1!V62,"AAAAABzXnIk=")</f>
        <v>#VALUE!</v>
      </c>
      <c r="EI7" t="e">
        <f>AND(List1!W62,"AAAAABzXnIo=")</f>
        <v>#VALUE!</v>
      </c>
      <c r="EJ7" t="e">
        <f>AND(List1!X62,"AAAAABzXnIs=")</f>
        <v>#VALUE!</v>
      </c>
      <c r="EK7" t="e">
        <f>AND(List1!Y62,"AAAAABzXnIw=")</f>
        <v>#VALUE!</v>
      </c>
      <c r="EL7" t="e">
        <f>AND(List1!Z62,"AAAAABzXnI0=")</f>
        <v>#VALUE!</v>
      </c>
      <c r="EM7" t="e">
        <f>AND(List1!AA62,"AAAAABzXnI4=")</f>
        <v>#VALUE!</v>
      </c>
      <c r="EN7" t="e">
        <f>AND(List1!AB62,"AAAAABzXnI8=")</f>
        <v>#VALUE!</v>
      </c>
      <c r="EO7">
        <f>IF(List1!63:63,"AAAAABzXnJA=",0)</f>
        <v>0</v>
      </c>
      <c r="EP7" t="e">
        <f>AND(List1!B63,"AAAAABzXnJE=")</f>
        <v>#VALUE!</v>
      </c>
      <c r="EQ7" t="e">
        <f>AND(List1!C63,"AAAAABzXnJI=")</f>
        <v>#VALUE!</v>
      </c>
      <c r="ER7" t="e">
        <f>AND(List1!D63,"AAAAABzXnJM=")</f>
        <v>#VALUE!</v>
      </c>
      <c r="ES7" t="e">
        <f>AND(List1!E63,"AAAAABzXnJQ=")</f>
        <v>#VALUE!</v>
      </c>
      <c r="ET7" t="e">
        <f>AND(List1!F63,"AAAAABzXnJU=")</f>
        <v>#VALUE!</v>
      </c>
      <c r="EU7" t="e">
        <f>AND(List1!G63,"AAAAABzXnJY=")</f>
        <v>#VALUE!</v>
      </c>
      <c r="EV7" t="e">
        <f>AND(List1!H63,"AAAAABzXnJc=")</f>
        <v>#VALUE!</v>
      </c>
      <c r="EW7" t="e">
        <f>AND(List1!I63,"AAAAABzXnJg=")</f>
        <v>#VALUE!</v>
      </c>
      <c r="EX7" t="e">
        <f>AND(List1!J63,"AAAAABzXnJk=")</f>
        <v>#VALUE!</v>
      </c>
      <c r="EY7" t="e">
        <f>AND(List1!K63,"AAAAABzXnJo=")</f>
        <v>#VALUE!</v>
      </c>
      <c r="EZ7" t="e">
        <f>AND(List1!L63,"AAAAABzXnJs=")</f>
        <v>#VALUE!</v>
      </c>
      <c r="FA7" t="e">
        <f>AND(List1!M63,"AAAAABzXnJw=")</f>
        <v>#VALUE!</v>
      </c>
      <c r="FB7" t="e">
        <f>AND(List1!N63,"AAAAABzXnJ0=")</f>
        <v>#VALUE!</v>
      </c>
      <c r="FC7" t="e">
        <f>AND(List1!O63,"AAAAABzXnJ4=")</f>
        <v>#VALUE!</v>
      </c>
      <c r="FD7" t="e">
        <f>AND(List1!P63,"AAAAABzXnJ8=")</f>
        <v>#VALUE!</v>
      </c>
      <c r="FE7" t="e">
        <f>AND(List1!Q63,"AAAAABzXnKA=")</f>
        <v>#VALUE!</v>
      </c>
      <c r="FF7" t="e">
        <f>AND(List1!R63,"AAAAABzXnKE=")</f>
        <v>#VALUE!</v>
      </c>
      <c r="FG7" t="e">
        <f>AND(List1!S63,"AAAAABzXnKI=")</f>
        <v>#VALUE!</v>
      </c>
      <c r="FH7" t="e">
        <f>AND(List1!T63,"AAAAABzXnKM=")</f>
        <v>#VALUE!</v>
      </c>
      <c r="FI7" t="e">
        <f>AND(List1!U63,"AAAAABzXnKQ=")</f>
        <v>#VALUE!</v>
      </c>
      <c r="FJ7" t="e">
        <f>AND(List1!V63,"AAAAABzXnKU=")</f>
        <v>#VALUE!</v>
      </c>
      <c r="FK7" t="e">
        <f>AND(List1!W63,"AAAAABzXnKY=")</f>
        <v>#VALUE!</v>
      </c>
      <c r="FL7" t="e">
        <f>AND(List1!X63,"AAAAABzXnKc=")</f>
        <v>#VALUE!</v>
      </c>
      <c r="FM7" t="e">
        <f>AND(List1!Y63,"AAAAABzXnKg=")</f>
        <v>#VALUE!</v>
      </c>
      <c r="FN7" t="e">
        <f>AND(List1!Z63,"AAAAABzXnKk=")</f>
        <v>#VALUE!</v>
      </c>
      <c r="FO7" t="e">
        <f>AND(List1!AA63,"AAAAABzXnKo=")</f>
        <v>#VALUE!</v>
      </c>
      <c r="FP7" t="e">
        <f>AND(List1!AB63,"AAAAABzXnKs=")</f>
        <v>#VALUE!</v>
      </c>
      <c r="FQ7">
        <f>IF(List1!64:64,"AAAAABzXnKw=",0)</f>
        <v>0</v>
      </c>
      <c r="FR7" t="e">
        <f>AND(List1!B64,"AAAAABzXnK0=")</f>
        <v>#VALUE!</v>
      </c>
      <c r="FS7" t="e">
        <f>AND(List1!C64,"AAAAABzXnK4=")</f>
        <v>#VALUE!</v>
      </c>
      <c r="FT7" t="e">
        <f>AND(List1!D64,"AAAAABzXnK8=")</f>
        <v>#VALUE!</v>
      </c>
      <c r="FU7" t="e">
        <f>AND(List1!E64,"AAAAABzXnLA=")</f>
        <v>#VALUE!</v>
      </c>
      <c r="FV7" t="e">
        <f>AND(List1!F64,"AAAAABzXnLE=")</f>
        <v>#VALUE!</v>
      </c>
      <c r="FW7" t="e">
        <f>AND(List1!G64,"AAAAABzXnLI=")</f>
        <v>#VALUE!</v>
      </c>
      <c r="FX7" t="e">
        <f>AND(List1!H64,"AAAAABzXnLM=")</f>
        <v>#VALUE!</v>
      </c>
      <c r="FY7" t="e">
        <f>AND(List1!I64,"AAAAABzXnLQ=")</f>
        <v>#VALUE!</v>
      </c>
      <c r="FZ7" t="e">
        <f>AND(List1!J64,"AAAAABzXnLU=")</f>
        <v>#VALUE!</v>
      </c>
      <c r="GA7" t="e">
        <f>AND(List1!K64,"AAAAABzXnLY=")</f>
        <v>#VALUE!</v>
      </c>
      <c r="GB7" t="e">
        <f>AND(List1!L64,"AAAAABzXnLc=")</f>
        <v>#VALUE!</v>
      </c>
      <c r="GC7" t="e">
        <f>AND(List1!M64,"AAAAABzXnLg=")</f>
        <v>#VALUE!</v>
      </c>
      <c r="GD7" t="e">
        <f>AND(List1!N64,"AAAAABzXnLk=")</f>
        <v>#VALUE!</v>
      </c>
      <c r="GE7" t="e">
        <f>AND(List1!O64,"AAAAABzXnLo=")</f>
        <v>#VALUE!</v>
      </c>
      <c r="GF7" t="e">
        <f>AND(List1!P64,"AAAAABzXnLs=")</f>
        <v>#VALUE!</v>
      </c>
      <c r="GG7" t="e">
        <f>AND(List1!Q64,"AAAAABzXnLw=")</f>
        <v>#VALUE!</v>
      </c>
      <c r="GH7" t="e">
        <f>AND(List1!R64,"AAAAABzXnL0=")</f>
        <v>#VALUE!</v>
      </c>
      <c r="GI7" t="e">
        <f>AND(List1!S64,"AAAAABzXnL4=")</f>
        <v>#VALUE!</v>
      </c>
      <c r="GJ7" t="e">
        <f>AND(List1!T64,"AAAAABzXnL8=")</f>
        <v>#VALUE!</v>
      </c>
      <c r="GK7" t="e">
        <f>AND(List1!U64,"AAAAABzXnMA=")</f>
        <v>#VALUE!</v>
      </c>
      <c r="GL7" t="e">
        <f>AND(List1!V64,"AAAAABzXnME=")</f>
        <v>#VALUE!</v>
      </c>
      <c r="GM7" t="e">
        <f>AND(List1!W64,"AAAAABzXnMI=")</f>
        <v>#VALUE!</v>
      </c>
      <c r="GN7" t="e">
        <f>AND(List1!X64,"AAAAABzXnMM=")</f>
        <v>#VALUE!</v>
      </c>
      <c r="GO7" t="e">
        <f>AND(List1!Y64,"AAAAABzXnMQ=")</f>
        <v>#VALUE!</v>
      </c>
      <c r="GP7" t="e">
        <f>AND(List1!Z64,"AAAAABzXnMU=")</f>
        <v>#VALUE!</v>
      </c>
      <c r="GQ7" t="e">
        <f>AND(List1!AA64,"AAAAABzXnMY=")</f>
        <v>#VALUE!</v>
      </c>
      <c r="GR7" t="e">
        <f>AND(List1!AB64,"AAAAABzXnMc=")</f>
        <v>#VALUE!</v>
      </c>
      <c r="GS7">
        <f>IF(List1!65:65,"AAAAABzXnMg=",0)</f>
        <v>0</v>
      </c>
      <c r="GT7" t="e">
        <f>AND(List1!B65,"AAAAABzXnMk=")</f>
        <v>#VALUE!</v>
      </c>
      <c r="GU7" t="e">
        <f>AND(List1!C65,"AAAAABzXnMo=")</f>
        <v>#VALUE!</v>
      </c>
      <c r="GV7" t="e">
        <f>AND(List1!D65,"AAAAABzXnMs=")</f>
        <v>#VALUE!</v>
      </c>
      <c r="GW7" t="e">
        <f>AND(List1!E65,"AAAAABzXnMw=")</f>
        <v>#VALUE!</v>
      </c>
      <c r="GX7" t="e">
        <f>AND(List1!F65,"AAAAABzXnM0=")</f>
        <v>#VALUE!</v>
      </c>
      <c r="GY7" t="e">
        <f>AND(List1!G65,"AAAAABzXnM4=")</f>
        <v>#VALUE!</v>
      </c>
      <c r="GZ7" t="e">
        <f>AND(List1!H65,"AAAAABzXnM8=")</f>
        <v>#VALUE!</v>
      </c>
      <c r="HA7" t="e">
        <f>AND(List1!I65,"AAAAABzXnNA=")</f>
        <v>#VALUE!</v>
      </c>
      <c r="HB7" t="e">
        <f>AND(List1!J65,"AAAAABzXnNE=")</f>
        <v>#VALUE!</v>
      </c>
      <c r="HC7" t="e">
        <f>AND(List1!K65,"AAAAABzXnNI=")</f>
        <v>#VALUE!</v>
      </c>
      <c r="HD7" t="e">
        <f>AND(List1!L65,"AAAAABzXnNM=")</f>
        <v>#VALUE!</v>
      </c>
      <c r="HE7" t="e">
        <f>AND(List1!M65,"AAAAABzXnNQ=")</f>
        <v>#VALUE!</v>
      </c>
      <c r="HF7" t="e">
        <f>AND(List1!N65,"AAAAABzXnNU=")</f>
        <v>#VALUE!</v>
      </c>
      <c r="HG7" t="e">
        <f>AND(List1!O65,"AAAAABzXnNY=")</f>
        <v>#VALUE!</v>
      </c>
      <c r="HH7" t="e">
        <f>AND(List1!P65,"AAAAABzXnNc=")</f>
        <v>#VALUE!</v>
      </c>
      <c r="HI7" t="e">
        <f>AND(List1!Q65,"AAAAABzXnNg=")</f>
        <v>#VALUE!</v>
      </c>
      <c r="HJ7" t="e">
        <f>AND(List1!R65,"AAAAABzXnNk=")</f>
        <v>#VALUE!</v>
      </c>
      <c r="HK7" t="e">
        <f>AND(List1!S65,"AAAAABzXnNo=")</f>
        <v>#VALUE!</v>
      </c>
      <c r="HL7" t="e">
        <f>AND(List1!T65,"AAAAABzXnNs=")</f>
        <v>#VALUE!</v>
      </c>
      <c r="HM7" t="e">
        <f>AND(List1!U65,"AAAAABzXnNw=")</f>
        <v>#VALUE!</v>
      </c>
      <c r="HN7" t="e">
        <f>AND(List1!V65,"AAAAABzXnN0=")</f>
        <v>#VALUE!</v>
      </c>
      <c r="HO7" t="e">
        <f>AND(List1!W65,"AAAAABzXnN4=")</f>
        <v>#VALUE!</v>
      </c>
      <c r="HP7" t="e">
        <f>AND(List1!X65,"AAAAABzXnN8=")</f>
        <v>#VALUE!</v>
      </c>
      <c r="HQ7" t="e">
        <f>AND(List1!Y65,"AAAAABzXnOA=")</f>
        <v>#VALUE!</v>
      </c>
      <c r="HR7" t="e">
        <f>AND(List1!Z65,"AAAAABzXnOE=")</f>
        <v>#VALUE!</v>
      </c>
      <c r="HS7" t="e">
        <f>AND(List1!AA65,"AAAAABzXnOI=")</f>
        <v>#VALUE!</v>
      </c>
      <c r="HT7" t="e">
        <f>AND(List1!AB65,"AAAAABzXnOM=")</f>
        <v>#VALUE!</v>
      </c>
      <c r="HU7">
        <f>IF(List1!66:66,"AAAAABzXnOQ=",0)</f>
        <v>0</v>
      </c>
      <c r="HV7" t="e">
        <f>AND(List1!B66,"AAAAABzXnOU=")</f>
        <v>#VALUE!</v>
      </c>
      <c r="HW7" t="e">
        <f>AND(List1!C66,"AAAAABzXnOY=")</f>
        <v>#VALUE!</v>
      </c>
      <c r="HX7" t="e">
        <f>AND(List1!D66,"AAAAABzXnOc=")</f>
        <v>#VALUE!</v>
      </c>
      <c r="HY7" t="e">
        <f>AND(List1!E66,"AAAAABzXnOg=")</f>
        <v>#VALUE!</v>
      </c>
      <c r="HZ7" t="e">
        <f>AND(List1!F66,"AAAAABzXnOk=")</f>
        <v>#VALUE!</v>
      </c>
      <c r="IA7" t="e">
        <f>AND(List1!G66,"AAAAABzXnOo=")</f>
        <v>#VALUE!</v>
      </c>
      <c r="IB7" t="e">
        <f>AND(List1!H66,"AAAAABzXnOs=")</f>
        <v>#VALUE!</v>
      </c>
      <c r="IC7" t="e">
        <f>AND(List1!I66,"AAAAABzXnOw=")</f>
        <v>#VALUE!</v>
      </c>
      <c r="ID7" t="e">
        <f>AND(List1!J66,"AAAAABzXnO0=")</f>
        <v>#VALUE!</v>
      </c>
      <c r="IE7" t="e">
        <f>AND(List1!K66,"AAAAABzXnO4=")</f>
        <v>#VALUE!</v>
      </c>
      <c r="IF7" t="e">
        <f>AND(List1!L66,"AAAAABzXnO8=")</f>
        <v>#VALUE!</v>
      </c>
      <c r="IG7" t="e">
        <f>AND(List1!M66,"AAAAABzXnPA=")</f>
        <v>#VALUE!</v>
      </c>
      <c r="IH7" t="e">
        <f>AND(List1!N66,"AAAAABzXnPE=")</f>
        <v>#VALUE!</v>
      </c>
      <c r="II7" t="e">
        <f>AND(List1!O66,"AAAAABzXnPI=")</f>
        <v>#VALUE!</v>
      </c>
      <c r="IJ7" t="e">
        <f>AND(List1!P66,"AAAAABzXnPM=")</f>
        <v>#VALUE!</v>
      </c>
      <c r="IK7" t="e">
        <f>AND(List1!Q66,"AAAAABzXnPQ=")</f>
        <v>#VALUE!</v>
      </c>
      <c r="IL7" t="e">
        <f>AND(List1!R66,"AAAAABzXnPU=")</f>
        <v>#VALUE!</v>
      </c>
      <c r="IM7" t="e">
        <f>AND(List1!S66,"AAAAABzXnPY=")</f>
        <v>#VALUE!</v>
      </c>
      <c r="IN7" t="e">
        <f>AND(List1!T66,"AAAAABzXnPc=")</f>
        <v>#VALUE!</v>
      </c>
      <c r="IO7" t="e">
        <f>AND(List1!U66,"AAAAABzXnPg=")</f>
        <v>#VALUE!</v>
      </c>
      <c r="IP7" t="e">
        <f>AND(List1!V66,"AAAAABzXnPk=")</f>
        <v>#VALUE!</v>
      </c>
      <c r="IQ7" t="e">
        <f>AND(List1!W66,"AAAAABzXnPo=")</f>
        <v>#VALUE!</v>
      </c>
      <c r="IR7" t="e">
        <f>AND(List1!X66,"AAAAABzXnPs=")</f>
        <v>#VALUE!</v>
      </c>
      <c r="IS7" t="e">
        <f>AND(List1!Y66,"AAAAABzXnPw=")</f>
        <v>#VALUE!</v>
      </c>
      <c r="IT7" t="e">
        <f>AND(List1!Z66,"AAAAABzXnP0=")</f>
        <v>#VALUE!</v>
      </c>
      <c r="IU7" t="e">
        <f>AND(List1!AA66,"AAAAABzXnP4=")</f>
        <v>#VALUE!</v>
      </c>
      <c r="IV7" t="e">
        <f>AND(List1!AB66,"AAAAABzXnP8=")</f>
        <v>#VALUE!</v>
      </c>
    </row>
    <row r="8" spans="1:256" x14ac:dyDescent="0.25">
      <c r="A8">
        <f>IF(List1!67:67,"AAAAAHT/VAA=",0)</f>
        <v>0</v>
      </c>
      <c r="B8" t="e">
        <f>AND(List1!B67,"AAAAAHT/VAE=")</f>
        <v>#VALUE!</v>
      </c>
      <c r="C8" t="e">
        <f>AND(List1!C67,"AAAAAHT/VAI=")</f>
        <v>#VALUE!</v>
      </c>
      <c r="D8" t="e">
        <f>AND(List1!D67,"AAAAAHT/VAM=")</f>
        <v>#VALUE!</v>
      </c>
      <c r="E8" t="e">
        <f>AND(List1!E67,"AAAAAHT/VAQ=")</f>
        <v>#VALUE!</v>
      </c>
      <c r="F8" t="e">
        <f>AND(List1!F67,"AAAAAHT/VAU=")</f>
        <v>#VALUE!</v>
      </c>
      <c r="G8" t="e">
        <f>AND(List1!G67,"AAAAAHT/VAY=")</f>
        <v>#VALUE!</v>
      </c>
      <c r="H8" t="e">
        <f>AND(List1!H67,"AAAAAHT/VAc=")</f>
        <v>#VALUE!</v>
      </c>
      <c r="I8" t="e">
        <f>AND(List1!I67,"AAAAAHT/VAg=")</f>
        <v>#VALUE!</v>
      </c>
      <c r="J8" t="e">
        <f>AND(List1!J67,"AAAAAHT/VAk=")</f>
        <v>#VALUE!</v>
      </c>
      <c r="K8" t="e">
        <f>AND(List1!K67,"AAAAAHT/VAo=")</f>
        <v>#VALUE!</v>
      </c>
      <c r="L8" t="e">
        <f>AND(List1!L67,"AAAAAHT/VAs=")</f>
        <v>#VALUE!</v>
      </c>
      <c r="M8" t="e">
        <f>AND(List1!M67,"AAAAAHT/VAw=")</f>
        <v>#VALUE!</v>
      </c>
      <c r="N8" t="e">
        <f>AND(List1!N67,"AAAAAHT/VA0=")</f>
        <v>#VALUE!</v>
      </c>
      <c r="O8" t="e">
        <f>AND(List1!O67,"AAAAAHT/VA4=")</f>
        <v>#VALUE!</v>
      </c>
      <c r="P8" t="e">
        <f>AND(List1!P67,"AAAAAHT/VA8=")</f>
        <v>#VALUE!</v>
      </c>
      <c r="Q8" t="e">
        <f>AND(List1!Q67,"AAAAAHT/VBA=")</f>
        <v>#VALUE!</v>
      </c>
      <c r="R8" t="e">
        <f>AND(List1!R67,"AAAAAHT/VBE=")</f>
        <v>#VALUE!</v>
      </c>
      <c r="S8" t="e">
        <f>AND(List1!S67,"AAAAAHT/VBI=")</f>
        <v>#VALUE!</v>
      </c>
      <c r="T8" t="e">
        <f>AND(List1!T67,"AAAAAHT/VBM=")</f>
        <v>#VALUE!</v>
      </c>
      <c r="U8" t="e">
        <f>AND(List1!U67,"AAAAAHT/VBQ=")</f>
        <v>#VALUE!</v>
      </c>
      <c r="V8" t="e">
        <f>AND(List1!V67,"AAAAAHT/VBU=")</f>
        <v>#VALUE!</v>
      </c>
      <c r="W8" t="e">
        <f>AND(List1!W67,"AAAAAHT/VBY=")</f>
        <v>#VALUE!</v>
      </c>
      <c r="X8" t="e">
        <f>AND(List1!X67,"AAAAAHT/VBc=")</f>
        <v>#VALUE!</v>
      </c>
      <c r="Y8" t="e">
        <f>AND(List1!Y67,"AAAAAHT/VBg=")</f>
        <v>#VALUE!</v>
      </c>
      <c r="Z8" t="e">
        <f>AND(List1!Z67,"AAAAAHT/VBk=")</f>
        <v>#VALUE!</v>
      </c>
      <c r="AA8" t="e">
        <f>AND(List1!AA67,"AAAAAHT/VBo=")</f>
        <v>#VALUE!</v>
      </c>
      <c r="AB8" t="e">
        <f>AND(List1!AB67,"AAAAAHT/VBs=")</f>
        <v>#VALUE!</v>
      </c>
      <c r="AC8">
        <f>IF(List1!A:A,"AAAAAHT/VBw=",0)</f>
        <v>0</v>
      </c>
      <c r="AD8" t="e">
        <f>IF(List1!B:B,"AAAAAHT/VB0=",0)</f>
        <v>#VALUE!</v>
      </c>
      <c r="AE8">
        <f>IF(List1!C:C,"AAAAAHT/VB4=",0)</f>
        <v>0</v>
      </c>
      <c r="AF8">
        <f>IF(List1!D:D,"AAAAAHT/VB8=",0)</f>
        <v>0</v>
      </c>
      <c r="AG8">
        <f>IF(List1!E:E,"AAAAAHT/VCA=",0)</f>
        <v>0</v>
      </c>
      <c r="AH8">
        <f>IF(List1!F:F,"AAAAAHT/VCE=",0)</f>
        <v>0</v>
      </c>
      <c r="AI8">
        <f>IF(List1!G:G,"AAAAAHT/VCI=",0)</f>
        <v>0</v>
      </c>
      <c r="AJ8">
        <f>IF(List1!H:H,"AAAAAHT/VCM=",0)</f>
        <v>0</v>
      </c>
      <c r="AK8">
        <f>IF(List1!I:I,"AAAAAHT/VCQ=",0)</f>
        <v>0</v>
      </c>
      <c r="AL8">
        <f>IF(List1!J:J,"AAAAAHT/VCU=",0)</f>
        <v>0</v>
      </c>
      <c r="AM8">
        <f>IF(List1!K:K,"AAAAAHT/VCY=",0)</f>
        <v>0</v>
      </c>
      <c r="AN8">
        <f>IF(List1!L:L,"AAAAAHT/VCc=",0)</f>
        <v>0</v>
      </c>
      <c r="AO8">
        <f>IF(List1!M:M,"AAAAAHT/VCg=",0)</f>
        <v>0</v>
      </c>
      <c r="AP8">
        <f>IF(List1!N:N,"AAAAAHT/VCk=",0)</f>
        <v>0</v>
      </c>
      <c r="AQ8">
        <f>IF(List1!O:O,"AAAAAHT/VCo=",0)</f>
        <v>0</v>
      </c>
      <c r="AR8">
        <f>IF(List1!P:P,"AAAAAHT/VCs=",0)</f>
        <v>0</v>
      </c>
      <c r="AS8">
        <f>IF(List1!Q:Q,"AAAAAHT/VCw=",0)</f>
        <v>0</v>
      </c>
      <c r="AT8">
        <f>IF(List1!R:R,"AAAAAHT/VC0=",0)</f>
        <v>0</v>
      </c>
      <c r="AU8">
        <f>IF(List1!S:S,"AAAAAHT/VC4=",0)</f>
        <v>0</v>
      </c>
      <c r="AV8">
        <f>IF(List1!T:T,"AAAAAHT/VC8=",0)</f>
        <v>0</v>
      </c>
      <c r="AW8">
        <f>IF(List1!U:U,"AAAAAHT/VDA=",0)</f>
        <v>0</v>
      </c>
      <c r="AX8">
        <f>IF(List1!V:V,"AAAAAHT/VDE=",0)</f>
        <v>0</v>
      </c>
      <c r="AY8">
        <f>IF(List1!W:W,"AAAAAHT/VDI=",0)</f>
        <v>0</v>
      </c>
      <c r="AZ8">
        <f>IF(List1!X:X,"AAAAAHT/VDM=",0)</f>
        <v>0</v>
      </c>
      <c r="BA8">
        <f>IF(List1!Y:Y,"AAAAAHT/VDQ=",0)</f>
        <v>0</v>
      </c>
      <c r="BB8">
        <f>IF(List1!Z:Z,"AAAAAHT/VDU=",0)</f>
        <v>0</v>
      </c>
      <c r="BC8">
        <f>IF(List1!AA:AA,"AAAAAHT/VDY=",0)</f>
        <v>0</v>
      </c>
      <c r="BD8">
        <f>IF(List1!AB:AB,"AAAAAHT/VDc=",0)</f>
        <v>0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Fábera</dc:creator>
  <cp:lastModifiedBy>Tomáš Vodenka</cp:lastModifiedBy>
  <cp:lastPrinted>2021-11-26T14:35:04Z</cp:lastPrinted>
  <dcterms:created xsi:type="dcterms:W3CDTF">2005-03-14T09:06:18Z</dcterms:created>
  <dcterms:modified xsi:type="dcterms:W3CDTF">2024-12-05T10:41:15Z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1O3-V88hF3PGcvx8UBhWGWGh9pc-OkuXPupLT0C4Ly7w</vt:lpwstr>
  </property>
  <property fmtid="{D5CDD505-2E9C-101B-9397-08002B2CF9AE}" pid="4" name="Google.Documents.RevisionId">
    <vt:lpwstr>11711503631558942268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