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Ú Žlutice\I-Vodenka\Zastupitelstvo města\11. zasedání 11.12.2023\Dotační program města 2024_Kultura_sport\"/>
    </mc:Choice>
  </mc:AlternateContent>
  <bookViews>
    <workbookView xWindow="0" yWindow="0" windowWidth="23040" windowHeight="9960"/>
  </bookViews>
  <sheets>
    <sheet name="List1" sheetId="1" r:id="rId1"/>
    <sheet name="DV-IDENTITY-0" sheetId="2" state="very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HH11" i="2"/>
  <c r="HI11" i="2"/>
  <c r="HJ11" i="2"/>
  <c r="HK11" i="2"/>
  <c r="HL11" i="2"/>
  <c r="HM11" i="2"/>
  <c r="HN11" i="2"/>
  <c r="HO11" i="2"/>
  <c r="HP11" i="2"/>
  <c r="HQ11" i="2"/>
  <c r="HR11" i="2"/>
  <c r="HS11" i="2"/>
  <c r="HT11" i="2"/>
  <c r="HU11" i="2"/>
  <c r="HV11" i="2"/>
  <c r="HW11" i="2"/>
  <c r="HX11" i="2"/>
  <c r="HY11" i="2"/>
  <c r="HZ11" i="2"/>
  <c r="IA11" i="2"/>
  <c r="IB11" i="2"/>
  <c r="IC11" i="2"/>
  <c r="ID11" i="2"/>
  <c r="IE11" i="2"/>
  <c r="IF11" i="2"/>
  <c r="IG11" i="2"/>
  <c r="IH11" i="2"/>
  <c r="II11" i="2"/>
  <c r="IJ11" i="2"/>
  <c r="IK11" i="2"/>
  <c r="IL11" i="2"/>
  <c r="IM11" i="2"/>
  <c r="IN11" i="2"/>
  <c r="IO11" i="2"/>
  <c r="IP11" i="2"/>
  <c r="IQ11" i="2"/>
  <c r="IR11" i="2"/>
  <c r="IS11" i="2"/>
  <c r="IT11" i="2"/>
  <c r="IU11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HH10" i="2"/>
  <c r="HI10" i="2"/>
  <c r="HJ10" i="2"/>
  <c r="HK10" i="2"/>
  <c r="HL10" i="2"/>
  <c r="HM10" i="2"/>
  <c r="HN10" i="2"/>
  <c r="HO10" i="2"/>
  <c r="HP10" i="2"/>
  <c r="HQ10" i="2"/>
  <c r="HR10" i="2"/>
  <c r="HS10" i="2"/>
  <c r="HT10" i="2"/>
  <c r="HU10" i="2"/>
  <c r="HV10" i="2"/>
  <c r="HW10" i="2"/>
  <c r="HX10" i="2"/>
  <c r="HY10" i="2"/>
  <c r="HZ10" i="2"/>
  <c r="IA10" i="2"/>
  <c r="IB10" i="2"/>
  <c r="IC10" i="2"/>
  <c r="ID10" i="2"/>
  <c r="IE10" i="2"/>
  <c r="IF10" i="2"/>
  <c r="IG10" i="2"/>
  <c r="IH10" i="2"/>
  <c r="II10" i="2"/>
  <c r="IJ10" i="2"/>
  <c r="IK10" i="2"/>
  <c r="IL10" i="2"/>
  <c r="IM10" i="2"/>
  <c r="IN10" i="2"/>
  <c r="IO10" i="2"/>
  <c r="IP10" i="2"/>
  <c r="IQ10" i="2"/>
  <c r="IR10" i="2"/>
  <c r="IS10" i="2"/>
  <c r="IT10" i="2"/>
  <c r="IU10" i="2"/>
  <c r="IV10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HH9" i="2"/>
  <c r="HI9" i="2"/>
  <c r="HJ9" i="2"/>
  <c r="HK9" i="2"/>
  <c r="HL9" i="2"/>
  <c r="HM9" i="2"/>
  <c r="HN9" i="2"/>
  <c r="HO9" i="2"/>
  <c r="HP9" i="2"/>
  <c r="HQ9" i="2"/>
  <c r="HR9" i="2"/>
  <c r="HS9" i="2"/>
  <c r="HT9" i="2"/>
  <c r="HU9" i="2"/>
  <c r="HV9" i="2"/>
  <c r="HW9" i="2"/>
  <c r="HX9" i="2"/>
  <c r="HY9" i="2"/>
  <c r="HZ9" i="2"/>
  <c r="IA9" i="2"/>
  <c r="IB9" i="2"/>
  <c r="IC9" i="2"/>
  <c r="ID9" i="2"/>
  <c r="IE9" i="2"/>
  <c r="IF9" i="2"/>
  <c r="IG9" i="2"/>
  <c r="IH9" i="2"/>
  <c r="II9" i="2"/>
  <c r="IJ9" i="2"/>
  <c r="IK9" i="2"/>
  <c r="IL9" i="2"/>
  <c r="IM9" i="2"/>
  <c r="IN9" i="2"/>
  <c r="IO9" i="2"/>
  <c r="IP9" i="2"/>
  <c r="IQ9" i="2"/>
  <c r="IR9" i="2"/>
  <c r="IS9" i="2"/>
  <c r="IT9" i="2"/>
  <c r="IU9" i="2"/>
  <c r="IV9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HH8" i="2"/>
  <c r="HI8" i="2"/>
  <c r="HJ8" i="2"/>
  <c r="HK8" i="2"/>
  <c r="HL8" i="2"/>
  <c r="HM8" i="2"/>
  <c r="HN8" i="2"/>
  <c r="HO8" i="2"/>
  <c r="HP8" i="2"/>
  <c r="HQ8" i="2"/>
  <c r="HR8" i="2"/>
  <c r="HS8" i="2"/>
  <c r="HT8" i="2"/>
  <c r="HU8" i="2"/>
  <c r="HV8" i="2"/>
  <c r="HW8" i="2"/>
  <c r="HX8" i="2"/>
  <c r="HY8" i="2"/>
  <c r="HZ8" i="2"/>
  <c r="IA8" i="2"/>
  <c r="IB8" i="2"/>
  <c r="IC8" i="2"/>
  <c r="ID8" i="2"/>
  <c r="IE8" i="2"/>
  <c r="IF8" i="2"/>
  <c r="IG8" i="2"/>
  <c r="IH8" i="2"/>
  <c r="II8" i="2"/>
  <c r="IJ8" i="2"/>
  <c r="IK8" i="2"/>
  <c r="IL8" i="2"/>
  <c r="IM8" i="2"/>
  <c r="IN8" i="2"/>
  <c r="IO8" i="2"/>
  <c r="IP8" i="2"/>
  <c r="IQ8" i="2"/>
  <c r="IR8" i="2"/>
  <c r="IS8" i="2"/>
  <c r="IT8" i="2"/>
  <c r="IU8" i="2"/>
  <c r="IV8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HH7" i="2"/>
  <c r="HI7" i="2"/>
  <c r="HJ7" i="2"/>
  <c r="HK7" i="2"/>
  <c r="HL7" i="2"/>
  <c r="HM7" i="2"/>
  <c r="HN7" i="2"/>
  <c r="HO7" i="2"/>
  <c r="HP7" i="2"/>
  <c r="HQ7" i="2"/>
  <c r="HR7" i="2"/>
  <c r="HS7" i="2"/>
  <c r="HT7" i="2"/>
  <c r="HU7" i="2"/>
  <c r="HV7" i="2"/>
  <c r="HW7" i="2"/>
  <c r="HX7" i="2"/>
  <c r="HY7" i="2"/>
  <c r="HZ7" i="2"/>
  <c r="IA7" i="2"/>
  <c r="IB7" i="2"/>
  <c r="IC7" i="2"/>
  <c r="ID7" i="2"/>
  <c r="IE7" i="2"/>
  <c r="IF7" i="2"/>
  <c r="IG7" i="2"/>
  <c r="IH7" i="2"/>
  <c r="II7" i="2"/>
  <c r="IJ7" i="2"/>
  <c r="IK7" i="2"/>
  <c r="IL7" i="2"/>
  <c r="IM7" i="2"/>
  <c r="IN7" i="2"/>
  <c r="IO7" i="2"/>
  <c r="IP7" i="2"/>
  <c r="IQ7" i="2"/>
  <c r="IR7" i="2"/>
  <c r="IS7" i="2"/>
  <c r="IT7" i="2"/>
  <c r="IU7" i="2"/>
  <c r="IV7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HH6" i="2"/>
  <c r="HI6" i="2"/>
  <c r="HJ6" i="2"/>
  <c r="HK6" i="2"/>
  <c r="HL6" i="2"/>
  <c r="HM6" i="2"/>
  <c r="HN6" i="2"/>
  <c r="HO6" i="2"/>
  <c r="HP6" i="2"/>
  <c r="HQ6" i="2"/>
  <c r="HR6" i="2"/>
  <c r="HS6" i="2"/>
  <c r="HT6" i="2"/>
  <c r="HU6" i="2"/>
  <c r="HV6" i="2"/>
  <c r="HW6" i="2"/>
  <c r="HX6" i="2"/>
  <c r="HY6" i="2"/>
  <c r="HZ6" i="2"/>
  <c r="IA6" i="2"/>
  <c r="IB6" i="2"/>
  <c r="IC6" i="2"/>
  <c r="ID6" i="2"/>
  <c r="IE6" i="2"/>
  <c r="IF6" i="2"/>
  <c r="IG6" i="2"/>
  <c r="IH6" i="2"/>
  <c r="II6" i="2"/>
  <c r="IJ6" i="2"/>
  <c r="IK6" i="2"/>
  <c r="IL6" i="2"/>
  <c r="IM6" i="2"/>
  <c r="IN6" i="2"/>
  <c r="IO6" i="2"/>
  <c r="IP6" i="2"/>
  <c r="IQ6" i="2"/>
  <c r="IR6" i="2"/>
  <c r="IS6" i="2"/>
  <c r="IT6" i="2"/>
  <c r="IU6" i="2"/>
  <c r="IV6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HH5" i="2"/>
  <c r="HI5" i="2"/>
  <c r="HJ5" i="2"/>
  <c r="HK5" i="2"/>
  <c r="HL5" i="2"/>
  <c r="HM5" i="2"/>
  <c r="HN5" i="2"/>
  <c r="HO5" i="2"/>
  <c r="HP5" i="2"/>
  <c r="HQ5" i="2"/>
  <c r="HR5" i="2"/>
  <c r="HS5" i="2"/>
  <c r="HT5" i="2"/>
  <c r="HU5" i="2"/>
  <c r="HV5" i="2"/>
  <c r="HW5" i="2"/>
  <c r="HX5" i="2"/>
  <c r="HY5" i="2"/>
  <c r="HZ5" i="2"/>
  <c r="IA5" i="2"/>
  <c r="IB5" i="2"/>
  <c r="IC5" i="2"/>
  <c r="ID5" i="2"/>
  <c r="IE5" i="2"/>
  <c r="IF5" i="2"/>
  <c r="IG5" i="2"/>
  <c r="IH5" i="2"/>
  <c r="II5" i="2"/>
  <c r="IJ5" i="2"/>
  <c r="IK5" i="2"/>
  <c r="IL5" i="2"/>
  <c r="IM5" i="2"/>
  <c r="IN5" i="2"/>
  <c r="IO5" i="2"/>
  <c r="IP5" i="2"/>
  <c r="IQ5" i="2"/>
  <c r="IR5" i="2"/>
  <c r="IS5" i="2"/>
  <c r="IT5" i="2"/>
  <c r="IU5" i="2"/>
  <c r="IV5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HH4" i="2"/>
  <c r="HI4" i="2"/>
  <c r="HJ4" i="2"/>
  <c r="HK4" i="2"/>
  <c r="HL4" i="2"/>
  <c r="HM4" i="2"/>
  <c r="HN4" i="2"/>
  <c r="HO4" i="2"/>
  <c r="HP4" i="2"/>
  <c r="HQ4" i="2"/>
  <c r="HR4" i="2"/>
  <c r="HS4" i="2"/>
  <c r="HT4" i="2"/>
  <c r="HU4" i="2"/>
  <c r="HV4" i="2"/>
  <c r="HW4" i="2"/>
  <c r="HX4" i="2"/>
  <c r="HY4" i="2"/>
  <c r="HZ4" i="2"/>
  <c r="IA4" i="2"/>
  <c r="IB4" i="2"/>
  <c r="IC4" i="2"/>
  <c r="ID4" i="2"/>
  <c r="IE4" i="2"/>
  <c r="IF4" i="2"/>
  <c r="IG4" i="2"/>
  <c r="IH4" i="2"/>
  <c r="II4" i="2"/>
  <c r="IJ4" i="2"/>
  <c r="IK4" i="2"/>
  <c r="IL4" i="2"/>
  <c r="IM4" i="2"/>
  <c r="IN4" i="2"/>
  <c r="IO4" i="2"/>
  <c r="IP4" i="2"/>
  <c r="IQ4" i="2"/>
  <c r="IR4" i="2"/>
  <c r="IS4" i="2"/>
  <c r="IT4" i="2"/>
  <c r="IU4" i="2"/>
  <c r="IV4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HH3" i="2"/>
  <c r="HI3" i="2"/>
  <c r="HJ3" i="2"/>
  <c r="HK3" i="2"/>
  <c r="HL3" i="2"/>
  <c r="HM3" i="2"/>
  <c r="HN3" i="2"/>
  <c r="HO3" i="2"/>
  <c r="HP3" i="2"/>
  <c r="HQ3" i="2"/>
  <c r="HR3" i="2"/>
  <c r="HS3" i="2"/>
  <c r="HT3" i="2"/>
  <c r="HU3" i="2"/>
  <c r="HV3" i="2"/>
  <c r="HW3" i="2"/>
  <c r="HX3" i="2"/>
  <c r="HY3" i="2"/>
  <c r="HZ3" i="2"/>
  <c r="IA3" i="2"/>
  <c r="IB3" i="2"/>
  <c r="IC3" i="2"/>
  <c r="ID3" i="2"/>
  <c r="IE3" i="2"/>
  <c r="IF3" i="2"/>
  <c r="IG3" i="2"/>
  <c r="IH3" i="2"/>
  <c r="II3" i="2"/>
  <c r="IJ3" i="2"/>
  <c r="IK3" i="2"/>
  <c r="IL3" i="2"/>
  <c r="IM3" i="2"/>
  <c r="IN3" i="2"/>
  <c r="IO3" i="2"/>
  <c r="IP3" i="2"/>
  <c r="IQ3" i="2"/>
  <c r="IR3" i="2"/>
  <c r="IS3" i="2"/>
  <c r="IT3" i="2"/>
  <c r="IU3" i="2"/>
  <c r="IV3" i="2"/>
  <c r="A2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HH2" i="2"/>
  <c r="HI2" i="2"/>
  <c r="HJ2" i="2"/>
  <c r="HK2" i="2"/>
  <c r="HL2" i="2"/>
  <c r="HM2" i="2"/>
  <c r="HN2" i="2"/>
  <c r="HO2" i="2"/>
  <c r="HP2" i="2"/>
  <c r="HQ2" i="2"/>
  <c r="HR2" i="2"/>
  <c r="HS2" i="2"/>
  <c r="HT2" i="2"/>
  <c r="HU2" i="2"/>
  <c r="HV2" i="2"/>
  <c r="HW2" i="2"/>
  <c r="HX2" i="2"/>
  <c r="HY2" i="2"/>
  <c r="HZ2" i="2"/>
  <c r="IA2" i="2"/>
  <c r="IB2" i="2"/>
  <c r="IC2" i="2"/>
  <c r="ID2" i="2"/>
  <c r="IE2" i="2"/>
  <c r="IF2" i="2"/>
  <c r="IG2" i="2"/>
  <c r="IH2" i="2"/>
  <c r="II2" i="2"/>
  <c r="IJ2" i="2"/>
  <c r="IK2" i="2"/>
  <c r="IL2" i="2"/>
  <c r="IM2" i="2"/>
  <c r="IN2" i="2"/>
  <c r="IO2" i="2"/>
  <c r="IP2" i="2"/>
  <c r="IQ2" i="2"/>
  <c r="IR2" i="2"/>
  <c r="IS2" i="2"/>
  <c r="IT2" i="2"/>
  <c r="IU2" i="2"/>
  <c r="IV2" i="2"/>
  <c r="A1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HH1" i="2"/>
  <c r="HI1" i="2"/>
  <c r="HJ1" i="2"/>
  <c r="HK1" i="2"/>
  <c r="HL1" i="2"/>
  <c r="HM1" i="2"/>
  <c r="HN1" i="2"/>
  <c r="HO1" i="2"/>
  <c r="HP1" i="2"/>
  <c r="HQ1" i="2"/>
  <c r="HR1" i="2"/>
  <c r="HS1" i="2"/>
  <c r="HT1" i="2"/>
  <c r="HU1" i="2"/>
  <c r="HV1" i="2"/>
  <c r="HW1" i="2"/>
  <c r="HX1" i="2"/>
  <c r="HY1" i="2"/>
  <c r="HZ1" i="2"/>
  <c r="IA1" i="2"/>
  <c r="IB1" i="2"/>
  <c r="IC1" i="2"/>
  <c r="ID1" i="2"/>
  <c r="IE1" i="2"/>
  <c r="IF1" i="2"/>
  <c r="IG1" i="2"/>
  <c r="IH1" i="2"/>
  <c r="II1" i="2"/>
  <c r="IJ1" i="2"/>
  <c r="IK1" i="2"/>
  <c r="IL1" i="2"/>
  <c r="IM1" i="2"/>
  <c r="IN1" i="2"/>
  <c r="IO1" i="2"/>
  <c r="IP1" i="2"/>
  <c r="IQ1" i="2"/>
  <c r="IR1" i="2"/>
  <c r="IS1" i="2"/>
  <c r="IT1" i="2"/>
  <c r="IU1" i="2"/>
  <c r="IV1" i="2"/>
</calcChain>
</file>

<file path=xl/sharedStrings.xml><?xml version="1.0" encoding="utf-8"?>
<sst xmlns="http://schemas.openxmlformats.org/spreadsheetml/2006/main" count="118" uniqueCount="67">
  <si>
    <t>Údaje o žadateli</t>
  </si>
  <si>
    <t>Subjekt:</t>
  </si>
  <si>
    <t>Název</t>
  </si>
  <si>
    <t>Adresa</t>
  </si>
  <si>
    <t>Bankovní spojení:</t>
  </si>
  <si>
    <t>Banka</t>
  </si>
  <si>
    <t>Číslo účtu</t>
  </si>
  <si>
    <t>Název:</t>
  </si>
  <si>
    <t>–</t>
  </si>
  <si>
    <t xml:space="preserve"> Kč</t>
  </si>
  <si>
    <t>Předpokládané příjmy:</t>
  </si>
  <si>
    <t>* Nehodící se škrtněte.</t>
  </si>
  <si>
    <t>Cyklus*</t>
  </si>
  <si>
    <t>Celoroční*</t>
  </si>
  <si>
    <t>Tradiční (pravidelně se opakující)*</t>
  </si>
  <si>
    <t>(Město, region, kraj apod.)</t>
  </si>
  <si>
    <t>(Podrobněji uveďte v příloze.)</t>
  </si>
  <si>
    <t>Rozpočet</t>
  </si>
  <si>
    <t>Plánované příjmy:</t>
  </si>
  <si>
    <t>Položka č.</t>
  </si>
  <si>
    <t>Specifikace položky</t>
  </si>
  <si>
    <t>Částka</t>
  </si>
  <si>
    <t xml:space="preserve"> %</t>
  </si>
  <si>
    <t>Vlastní zdroje</t>
  </si>
  <si>
    <t>Účastnické poplatky, vstupné</t>
  </si>
  <si>
    <t>Celkem:</t>
  </si>
  <si>
    <t>Plánované výdaje:</t>
  </si>
  <si>
    <t>Položka celkem</t>
  </si>
  <si>
    <t>Příloha, která je nedílnou součástí této žádosti, obsahuje  celkem</t>
  </si>
  <si>
    <t>Místo, datum</t>
  </si>
  <si>
    <t>Razítko a podpis odpovědné osoby</t>
  </si>
  <si>
    <t>Z toho bude uhrazeno městem Žlutice</t>
  </si>
  <si>
    <t>Osoba odpovědná za projekt:</t>
  </si>
  <si>
    <t>Jméno:</t>
  </si>
  <si>
    <t>Adresa:</t>
  </si>
  <si>
    <t>Telefon:</t>
  </si>
  <si>
    <t>Zaměření / cílová skupina:</t>
  </si>
  <si>
    <t>IČ / RČ</t>
  </si>
  <si>
    <t>Předpokládané výdaje:</t>
  </si>
  <si>
    <t>listů.</t>
  </si>
  <si>
    <t>Čestné prohlášení</t>
  </si>
  <si>
    <t>Statutární zástupce:</t>
  </si>
  <si>
    <t>Ostatní (jiné dotace, dary, sponzorské příspěvky apod.)</t>
  </si>
  <si>
    <t>Žádost o poskytnutí dotace</t>
  </si>
  <si>
    <t>Údaje o projektu</t>
  </si>
  <si>
    <t>Datum realizace projektu:</t>
  </si>
  <si>
    <t>Místo realizace projektu:</t>
  </si>
  <si>
    <t>Údaje o rozpočtu projektu</t>
  </si>
  <si>
    <t>Požadovaná dotace:</t>
  </si>
  <si>
    <t xml:space="preserve">Žádáte v Dotačním programu města Žlutice současně o dotaci na jiný projekt?  </t>
  </si>
  <si>
    <t>Pakliže ano, napište jeho název:</t>
  </si>
  <si>
    <t>Projekt</t>
  </si>
  <si>
    <t>Typ projektu:</t>
  </si>
  <si>
    <t>Jednorázový*</t>
  </si>
  <si>
    <t>Nový (projekt konaný poprvé)*</t>
  </si>
  <si>
    <t>Uzavřený (určený pro vybraný okruh osob)*</t>
  </si>
  <si>
    <t>Otevřený (určený pro širokou veřejnost)*</t>
  </si>
  <si>
    <t>Působnost projektu a vztah k Městu Žlutice</t>
  </si>
  <si>
    <t>Popis projektu a jeho cíl:</t>
  </si>
  <si>
    <t>Požadovaná dotace od města Žlutice</t>
  </si>
  <si>
    <t>Minimální výše poskytnuté dotace:</t>
  </si>
  <si>
    <t>a) Projekt se uskuteční i bez přidělení dotace*</t>
  </si>
  <si>
    <t>b) Projekt se uskuteční pouze za předpokladu přidělení dotace v následující výši:*</t>
  </si>
  <si>
    <t>Tímto čestně prohlašuji, že údaje uvedené v této žádosti a jejich přílohách jsou pravdivé, a že výše uvedený subjekt nemá vůči Městu Žlutice žádné dluhy. Souhlasím s tím, aby mé osobní údaje vyplněné v této žádosti, byly zpracovány do evidence Města Žlutice pro účely dotačního řízení a následného smluvního vztahu po celou dobu jeho trvání, jak vyplývá ze zákona č. 110/2019 Sb., o zpracování osobních údajů a dalších příslušných zákonů.</t>
  </si>
  <si>
    <t>Příloha č. 1</t>
  </si>
  <si>
    <t>E-mail:</t>
  </si>
  <si>
    <t>Dotační program města Žlutice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</si>
</sst>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 Narrow"/>
      <charset val="238"/>
    </font>
    <font>
      <sz val="8"/>
      <name val="Arial Narrow"/>
      <family val="2"/>
      <charset val="238"/>
    </font>
    <font>
      <b/>
      <sz val="10"/>
      <name val="Arial Narrow"/>
      <family val="2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/>
    <xf numFmtId="0" fontId="1" fillId="0" borderId="3" xfId="0" applyFont="1" applyBorder="1" applyAlignment="1" applyProtection="1">
      <alignment vertical="center"/>
      <protection locked="0"/>
    </xf>
    <xf numFmtId="0" fontId="1" fillId="0" borderId="3" xfId="0" applyFont="1" applyBorder="1" applyProtection="1">
      <protection locked="0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9" xfId="0" applyFont="1" applyBorder="1" applyAlignment="1">
      <alignment horizontal="left" vertical="center" indent="1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2" borderId="9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 indent="1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horizontal="justify" vertical="center" wrapText="1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justify" vertical="top" wrapText="1"/>
      <protection locked="0"/>
    </xf>
    <xf numFmtId="0" fontId="1" fillId="0" borderId="11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1" fillId="0" borderId="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/>
    <xf numFmtId="4" fontId="9" fillId="0" borderId="9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horizontal="center" vertical="center" wrapText="1"/>
    </xf>
    <xf numFmtId="0" fontId="0" fillId="0" borderId="1" xfId="0" applyBorder="1"/>
    <xf numFmtId="0" fontId="1" fillId="0" borderId="9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/>
    </xf>
    <xf numFmtId="4" fontId="1" fillId="0" borderId="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A89"/>
  <sheetViews>
    <sheetView tabSelected="1" topLeftCell="A66" workbookViewId="0">
      <selection activeCell="B98" sqref="B98"/>
    </sheetView>
  </sheetViews>
  <sheetFormatPr defaultRowHeight="13.2" x14ac:dyDescent="0.25"/>
  <cols>
    <col min="1" max="1" width="4.44140625" customWidth="1"/>
    <col min="2" max="27" width="3.5546875" customWidth="1"/>
    <col min="28" max="28" width="4.6640625" customWidth="1"/>
  </cols>
  <sheetData>
    <row r="1" spans="2:27" x14ac:dyDescent="0.25">
      <c r="B1" s="103" t="s">
        <v>64</v>
      </c>
      <c r="C1" s="103"/>
      <c r="D1" s="103"/>
      <c r="E1" s="103"/>
    </row>
    <row r="3" spans="2:27" ht="20.399999999999999" x14ac:dyDescent="0.25">
      <c r="B3" s="16" t="s">
        <v>66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2:27" ht="13.8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2:27" ht="18" x14ac:dyDescent="0.25">
      <c r="B5" s="18" t="s">
        <v>43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2:27" ht="13.8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2:27" ht="15.6" x14ac:dyDescent="0.25">
      <c r="B7" s="30"/>
      <c r="C7" s="27"/>
      <c r="D7" s="27"/>
      <c r="E7" s="27" t="s">
        <v>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  <c r="Z7" s="28"/>
      <c r="AA7" s="29"/>
    </row>
    <row r="8" spans="2:27" ht="13.8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2:27" ht="13.8" x14ac:dyDescent="0.25">
      <c r="B9" s="31" t="s">
        <v>1</v>
      </c>
      <c r="C9" s="32"/>
      <c r="D9" s="32"/>
      <c r="E9" s="33"/>
      <c r="F9" s="40" t="s">
        <v>2</v>
      </c>
      <c r="G9" s="40"/>
      <c r="H9" s="41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2"/>
    </row>
    <row r="10" spans="2:27" ht="13.8" x14ac:dyDescent="0.3">
      <c r="B10" s="34"/>
      <c r="C10" s="35"/>
      <c r="D10" s="35"/>
      <c r="E10" s="36"/>
      <c r="F10" s="37" t="s">
        <v>37</v>
      </c>
      <c r="G10" s="37"/>
      <c r="H10" s="38"/>
      <c r="I10" s="42"/>
      <c r="J10" s="43"/>
      <c r="K10" s="43"/>
      <c r="L10" s="43"/>
      <c r="M10" s="43"/>
      <c r="N10" s="44"/>
      <c r="O10" s="46" t="s">
        <v>41</v>
      </c>
      <c r="P10" s="45"/>
      <c r="Q10" s="45"/>
      <c r="R10" s="47"/>
      <c r="S10" s="45"/>
      <c r="T10" s="45"/>
      <c r="U10" s="45"/>
      <c r="V10" s="45"/>
      <c r="W10" s="45"/>
      <c r="X10" s="45"/>
      <c r="Y10" s="45"/>
      <c r="Z10" s="45"/>
      <c r="AA10" s="2"/>
    </row>
    <row r="11" spans="2:27" ht="13.8" x14ac:dyDescent="0.3">
      <c r="B11" s="21" t="s">
        <v>32</v>
      </c>
      <c r="C11" s="22"/>
      <c r="D11" s="22"/>
      <c r="E11" s="22"/>
      <c r="F11" s="22"/>
      <c r="G11" s="22"/>
      <c r="H11" s="23"/>
      <c r="I11" s="42" t="s">
        <v>33</v>
      </c>
      <c r="J11" s="43"/>
      <c r="K11" s="43"/>
      <c r="L11" s="4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2"/>
    </row>
    <row r="12" spans="2:27" ht="13.8" x14ac:dyDescent="0.25">
      <c r="B12" s="34"/>
      <c r="C12" s="40"/>
      <c r="D12" s="40"/>
      <c r="E12" s="40"/>
      <c r="F12" s="40"/>
      <c r="G12" s="40"/>
      <c r="H12" s="41"/>
      <c r="I12" s="24" t="s">
        <v>34</v>
      </c>
      <c r="J12" s="25"/>
      <c r="K12" s="25"/>
      <c r="L12" s="26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"/>
    </row>
    <row r="13" spans="2:27" ht="13.8" x14ac:dyDescent="0.25">
      <c r="B13" s="21"/>
      <c r="C13" s="22"/>
      <c r="D13" s="22"/>
      <c r="E13" s="22"/>
      <c r="F13" s="22"/>
      <c r="G13" s="22"/>
      <c r="H13" s="23"/>
      <c r="I13" s="24" t="s">
        <v>65</v>
      </c>
      <c r="J13" s="25"/>
      <c r="K13" s="25"/>
      <c r="L13" s="26"/>
      <c r="M13" s="2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"/>
    </row>
    <row r="14" spans="2:27" ht="13.8" x14ac:dyDescent="0.25">
      <c r="B14" s="21"/>
      <c r="C14" s="22"/>
      <c r="D14" s="22"/>
      <c r="E14" s="22"/>
      <c r="F14" s="22"/>
      <c r="G14" s="22"/>
      <c r="H14" s="23"/>
      <c r="I14" s="24" t="s">
        <v>35</v>
      </c>
      <c r="J14" s="25"/>
      <c r="K14" s="25"/>
      <c r="L14" s="26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"/>
    </row>
    <row r="15" spans="2:27" ht="13.8" x14ac:dyDescent="0.25">
      <c r="B15" s="34" t="s">
        <v>4</v>
      </c>
      <c r="C15" s="40"/>
      <c r="D15" s="40"/>
      <c r="E15" s="41"/>
      <c r="F15" s="40" t="s">
        <v>5</v>
      </c>
      <c r="G15" s="40"/>
      <c r="H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2"/>
    </row>
    <row r="16" spans="2:27" ht="13.8" x14ac:dyDescent="0.25">
      <c r="B16" s="48"/>
      <c r="C16" s="17"/>
      <c r="D16" s="17"/>
      <c r="E16" s="49"/>
      <c r="F16" s="40" t="s">
        <v>3</v>
      </c>
      <c r="G16" s="40"/>
      <c r="H16" s="41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2"/>
    </row>
    <row r="17" spans="2:27" ht="13.8" x14ac:dyDescent="0.25">
      <c r="B17" s="50"/>
      <c r="C17" s="19"/>
      <c r="D17" s="19"/>
      <c r="E17" s="51"/>
      <c r="F17" s="40" t="s">
        <v>6</v>
      </c>
      <c r="G17" s="40"/>
      <c r="H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2"/>
    </row>
    <row r="18" spans="2:27" ht="18" customHeight="1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2:27" ht="15.6" x14ac:dyDescent="0.25">
      <c r="B19" s="30"/>
      <c r="C19" s="27"/>
      <c r="D19" s="27"/>
      <c r="E19" s="27" t="s">
        <v>44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  <c r="Z19" s="28"/>
      <c r="AA19" s="29"/>
    </row>
    <row r="20" spans="2:27" ht="13.8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2:27" ht="13.8" x14ac:dyDescent="0.3">
      <c r="B21" s="52" t="s">
        <v>7</v>
      </c>
      <c r="C21" s="35"/>
      <c r="D21" s="35"/>
      <c r="E21" s="35"/>
      <c r="F21" s="35"/>
      <c r="G21" s="35"/>
      <c r="H21" s="35"/>
      <c r="I21" s="53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2"/>
    </row>
    <row r="22" spans="2:27" ht="13.8" x14ac:dyDescent="0.25">
      <c r="B22" s="34" t="s">
        <v>36</v>
      </c>
      <c r="C22" s="40"/>
      <c r="D22" s="40"/>
      <c r="E22" s="40"/>
      <c r="F22" s="40"/>
      <c r="G22" s="40"/>
      <c r="H22" s="40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2"/>
    </row>
    <row r="23" spans="2:27" ht="13.8" x14ac:dyDescent="0.3">
      <c r="B23" s="34" t="s">
        <v>45</v>
      </c>
      <c r="C23" s="40"/>
      <c r="D23" s="40"/>
      <c r="E23" s="40"/>
      <c r="F23" s="40"/>
      <c r="G23" s="40"/>
      <c r="H23" s="40"/>
      <c r="I23" s="15"/>
      <c r="J23" s="15"/>
      <c r="K23" s="15"/>
      <c r="L23" s="15"/>
      <c r="M23" s="15"/>
      <c r="N23" s="4"/>
      <c r="O23" s="21" t="s">
        <v>46</v>
      </c>
      <c r="P23" s="22"/>
      <c r="Q23" s="22"/>
      <c r="R23" s="22"/>
      <c r="S23" s="22"/>
      <c r="T23" s="22"/>
      <c r="U23" s="14"/>
      <c r="V23" s="14"/>
      <c r="W23" s="14"/>
      <c r="X23" s="14"/>
      <c r="Y23" s="14"/>
      <c r="Z23" s="14"/>
      <c r="AA23" s="2"/>
    </row>
    <row r="24" spans="2:27" ht="18" customHeight="1" x14ac:dyDescent="0.2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2:27" ht="15.6" x14ac:dyDescent="0.25">
      <c r="B25" s="30"/>
      <c r="C25" s="27"/>
      <c r="D25" s="27"/>
      <c r="E25" s="27" t="s">
        <v>47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8"/>
      <c r="Z25" s="28"/>
      <c r="AA25" s="29"/>
    </row>
    <row r="26" spans="2:27" ht="13.8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2:27" ht="13.8" x14ac:dyDescent="0.25">
      <c r="B27" s="34" t="s">
        <v>38</v>
      </c>
      <c r="C27" s="40"/>
      <c r="D27" s="40"/>
      <c r="E27" s="40"/>
      <c r="F27" s="40"/>
      <c r="G27" s="40"/>
      <c r="H27" s="55"/>
      <c r="I27" s="55"/>
      <c r="J27" s="55"/>
      <c r="K27" s="55"/>
      <c r="L27" s="55"/>
      <c r="M27" s="55"/>
      <c r="N27" s="2" t="s">
        <v>9</v>
      </c>
      <c r="O27" s="34" t="s">
        <v>10</v>
      </c>
      <c r="P27" s="40"/>
      <c r="Q27" s="40"/>
      <c r="R27" s="40"/>
      <c r="S27" s="40"/>
      <c r="T27" s="40"/>
      <c r="U27" s="55"/>
      <c r="V27" s="55"/>
      <c r="W27" s="55"/>
      <c r="X27" s="55"/>
      <c r="Y27" s="55"/>
      <c r="Z27" s="55"/>
      <c r="AA27" s="2" t="s">
        <v>9</v>
      </c>
    </row>
    <row r="28" spans="2:27" ht="13.8" x14ac:dyDescent="0.25">
      <c r="B28" s="68" t="s">
        <v>48</v>
      </c>
      <c r="C28" s="32"/>
      <c r="D28" s="32"/>
      <c r="E28" s="32"/>
      <c r="F28" s="32"/>
      <c r="G28" s="32"/>
      <c r="H28" s="55"/>
      <c r="I28" s="55"/>
      <c r="J28" s="55"/>
      <c r="K28" s="55"/>
      <c r="L28" s="55"/>
      <c r="M28" s="55"/>
      <c r="N28" s="6" t="s">
        <v>9</v>
      </c>
      <c r="O28" s="68"/>
      <c r="P28" s="32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"/>
    </row>
    <row r="29" spans="2:27" ht="13.8" x14ac:dyDescent="0.25">
      <c r="B29" s="68" t="s">
        <v>49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69"/>
      <c r="U29" s="69"/>
      <c r="V29" s="69"/>
      <c r="W29" s="69"/>
      <c r="X29" s="69"/>
      <c r="Y29" s="69"/>
      <c r="Z29" s="69"/>
      <c r="AA29" s="6"/>
    </row>
    <row r="30" spans="2:27" ht="13.8" x14ac:dyDescent="0.25">
      <c r="B30" s="62" t="s">
        <v>50</v>
      </c>
      <c r="C30" s="63"/>
      <c r="D30" s="63"/>
      <c r="E30" s="63"/>
      <c r="F30" s="63"/>
      <c r="G30" s="63"/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7"/>
    </row>
    <row r="31" spans="2:27" ht="18" customHeight="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2:27" ht="15.6" x14ac:dyDescent="0.25">
      <c r="B32" s="65"/>
      <c r="C32" s="66"/>
      <c r="D32" s="66"/>
      <c r="E32" s="27" t="s">
        <v>51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66"/>
      <c r="Z32" s="66"/>
      <c r="AA32" s="67"/>
    </row>
    <row r="33" spans="2:27" ht="13.8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2:27" ht="13.8" x14ac:dyDescent="0.25">
      <c r="B34" s="59" t="s">
        <v>52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1"/>
    </row>
    <row r="35" spans="2:27" ht="13.8" x14ac:dyDescent="0.25">
      <c r="B35" s="21" t="s">
        <v>53</v>
      </c>
      <c r="C35" s="22"/>
      <c r="D35" s="22"/>
      <c r="E35" s="22"/>
      <c r="F35" s="22"/>
      <c r="G35" s="22"/>
      <c r="H35" s="22"/>
      <c r="I35" s="22"/>
      <c r="J35" s="5" t="s">
        <v>8</v>
      </c>
      <c r="K35" s="22" t="s">
        <v>12</v>
      </c>
      <c r="L35" s="22"/>
      <c r="M35" s="22"/>
      <c r="N35" s="22"/>
      <c r="O35" s="22"/>
      <c r="P35" s="22"/>
      <c r="Q35" s="22"/>
      <c r="R35" s="22"/>
      <c r="S35" s="5" t="s">
        <v>8</v>
      </c>
      <c r="T35" s="22" t="s">
        <v>13</v>
      </c>
      <c r="U35" s="22"/>
      <c r="V35" s="22"/>
      <c r="W35" s="22"/>
      <c r="X35" s="22"/>
      <c r="Y35" s="22"/>
      <c r="Z35" s="22"/>
      <c r="AA35" s="23"/>
    </row>
    <row r="36" spans="2:27" ht="13.8" x14ac:dyDescent="0.25">
      <c r="B36" s="21" t="s">
        <v>14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 t="s">
        <v>8</v>
      </c>
      <c r="O36" s="22"/>
      <c r="P36" s="22" t="s">
        <v>54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3"/>
    </row>
    <row r="37" spans="2:27" ht="13.8" x14ac:dyDescent="0.25">
      <c r="B37" s="21" t="s">
        <v>56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 t="s">
        <v>8</v>
      </c>
      <c r="O37" s="22"/>
      <c r="P37" s="22" t="s">
        <v>55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3"/>
    </row>
    <row r="38" spans="2:27" ht="18" customHeight="1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ht="13.8" x14ac:dyDescent="0.25">
      <c r="B39" s="80" t="s">
        <v>57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2"/>
    </row>
    <row r="40" spans="2:27" x14ac:dyDescent="0.25">
      <c r="B40" s="56" t="s">
        <v>15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8"/>
    </row>
    <row r="41" spans="2:27" ht="13.8" x14ac:dyDescent="0.25">
      <c r="B41" s="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7"/>
    </row>
    <row r="42" spans="2:27" ht="18" customHeight="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2:27" ht="13.8" x14ac:dyDescent="0.25">
      <c r="B43" s="80" t="s">
        <v>58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2"/>
    </row>
    <row r="44" spans="2:27" x14ac:dyDescent="0.25">
      <c r="B44" s="56" t="s">
        <v>16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8"/>
    </row>
    <row r="45" spans="2:27" ht="13.8" x14ac:dyDescent="0.25">
      <c r="B45" s="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7"/>
    </row>
    <row r="46" spans="2:27" ht="18" customHeight="1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2:27" ht="15.6" x14ac:dyDescent="0.25">
      <c r="B47" s="65"/>
      <c r="C47" s="66"/>
      <c r="D47" s="66"/>
      <c r="E47" s="27" t="s">
        <v>17</v>
      </c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66"/>
      <c r="Z47" s="66"/>
      <c r="AA47" s="67"/>
    </row>
    <row r="48" spans="2:27" ht="13.8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2:27" ht="13.8" x14ac:dyDescent="0.25">
      <c r="B49" s="59" t="s">
        <v>18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22"/>
      <c r="X49" s="22"/>
      <c r="Y49" s="22"/>
      <c r="Z49" s="22"/>
      <c r="AA49" s="23"/>
    </row>
    <row r="50" spans="2:27" ht="13.8" x14ac:dyDescent="0.25">
      <c r="B50" s="84" t="s">
        <v>19</v>
      </c>
      <c r="C50" s="84"/>
      <c r="D50" s="84"/>
      <c r="E50" s="34" t="s">
        <v>20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21" t="s">
        <v>21</v>
      </c>
      <c r="V50" s="90"/>
      <c r="W50" s="90"/>
      <c r="X50" s="90"/>
      <c r="Y50" s="91"/>
      <c r="Z50" s="91"/>
      <c r="AA50" s="92"/>
    </row>
    <row r="51" spans="2:27" ht="13.8" x14ac:dyDescent="0.25">
      <c r="B51" s="86">
        <v>1</v>
      </c>
      <c r="C51" s="87"/>
      <c r="D51" s="7"/>
      <c r="E51" s="34" t="s">
        <v>59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8"/>
      <c r="U51" s="89"/>
      <c r="V51" s="55"/>
      <c r="W51" s="55"/>
      <c r="X51" s="7" t="s">
        <v>9</v>
      </c>
      <c r="Y51" s="89"/>
      <c r="Z51" s="55"/>
      <c r="AA51" s="7" t="s">
        <v>22</v>
      </c>
    </row>
    <row r="52" spans="2:27" ht="13.8" x14ac:dyDescent="0.25">
      <c r="B52" s="86">
        <v>2</v>
      </c>
      <c r="C52" s="87"/>
      <c r="D52" s="7"/>
      <c r="E52" s="34" t="s">
        <v>23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8"/>
      <c r="U52" s="89"/>
      <c r="V52" s="55"/>
      <c r="W52" s="55"/>
      <c r="X52" s="2" t="s">
        <v>9</v>
      </c>
      <c r="Y52" s="89"/>
      <c r="Z52" s="55"/>
      <c r="AA52" s="7" t="s">
        <v>22</v>
      </c>
    </row>
    <row r="53" spans="2:27" ht="13.8" x14ac:dyDescent="0.25">
      <c r="B53" s="86">
        <v>3</v>
      </c>
      <c r="C53" s="87"/>
      <c r="D53" s="7"/>
      <c r="E53" s="34" t="s">
        <v>24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8"/>
      <c r="U53" s="89"/>
      <c r="V53" s="55"/>
      <c r="W53" s="55"/>
      <c r="X53" s="2" t="s">
        <v>9</v>
      </c>
      <c r="Y53" s="89"/>
      <c r="Z53" s="55"/>
      <c r="AA53" s="7" t="s">
        <v>22</v>
      </c>
    </row>
    <row r="54" spans="2:27" ht="13.8" x14ac:dyDescent="0.25">
      <c r="B54" s="86">
        <v>4</v>
      </c>
      <c r="C54" s="87"/>
      <c r="D54" s="7"/>
      <c r="E54" s="34" t="s">
        <v>42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8"/>
      <c r="U54" s="89"/>
      <c r="V54" s="55"/>
      <c r="W54" s="55"/>
      <c r="X54" s="2" t="s">
        <v>9</v>
      </c>
      <c r="Y54" s="89"/>
      <c r="Z54" s="55"/>
      <c r="AA54" s="7" t="s">
        <v>22</v>
      </c>
    </row>
    <row r="55" spans="2:27" ht="13.8" x14ac:dyDescent="0.25">
      <c r="B55" s="52" t="s">
        <v>25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4"/>
      <c r="V55" s="95"/>
      <c r="W55" s="95"/>
      <c r="X55" s="8" t="s">
        <v>9</v>
      </c>
      <c r="Y55" s="94"/>
      <c r="Z55" s="95"/>
      <c r="AA55" s="9" t="s">
        <v>22</v>
      </c>
    </row>
    <row r="56" spans="2:27" ht="13.8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2:27" ht="13.8" x14ac:dyDescent="0.25">
      <c r="B57" s="59" t="s">
        <v>26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22"/>
      <c r="X57" s="22"/>
      <c r="Y57" s="22"/>
      <c r="Z57" s="22"/>
      <c r="AA57" s="23"/>
    </row>
    <row r="58" spans="2:27" ht="13.8" x14ac:dyDescent="0.25">
      <c r="B58" s="84" t="s">
        <v>19</v>
      </c>
      <c r="C58" s="84"/>
      <c r="D58" s="84"/>
      <c r="E58" s="34" t="s">
        <v>20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1"/>
      <c r="Q58" s="96" t="s">
        <v>27</v>
      </c>
      <c r="R58" s="93"/>
      <c r="S58" s="93"/>
      <c r="T58" s="97"/>
      <c r="U58" s="96" t="s">
        <v>31</v>
      </c>
      <c r="V58" s="93"/>
      <c r="W58" s="93"/>
      <c r="X58" s="93"/>
      <c r="Y58" s="93"/>
      <c r="Z58" s="93"/>
      <c r="AA58" s="97"/>
    </row>
    <row r="59" spans="2:27" ht="13.8" x14ac:dyDescent="0.25">
      <c r="B59" s="86">
        <v>1</v>
      </c>
      <c r="C59" s="87"/>
      <c r="D59" s="7"/>
      <c r="E59" s="100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  <c r="Q59" s="89"/>
      <c r="R59" s="55"/>
      <c r="S59" s="55"/>
      <c r="T59" s="7" t="s">
        <v>9</v>
      </c>
      <c r="U59" s="89"/>
      <c r="V59" s="55"/>
      <c r="W59" s="55"/>
      <c r="X59" s="7" t="s">
        <v>9</v>
      </c>
      <c r="Y59" s="89"/>
      <c r="Z59" s="55"/>
      <c r="AA59" s="7" t="s">
        <v>22</v>
      </c>
    </row>
    <row r="60" spans="2:27" ht="13.8" x14ac:dyDescent="0.25">
      <c r="B60" s="98">
        <v>2</v>
      </c>
      <c r="C60" s="99"/>
      <c r="D60" s="7"/>
      <c r="E60" s="100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  <c r="Q60" s="89"/>
      <c r="R60" s="55"/>
      <c r="S60" s="55"/>
      <c r="T60" s="2" t="s">
        <v>9</v>
      </c>
      <c r="U60" s="89"/>
      <c r="V60" s="55"/>
      <c r="W60" s="55"/>
      <c r="X60" s="2" t="s">
        <v>9</v>
      </c>
      <c r="Y60" s="89"/>
      <c r="Z60" s="55"/>
      <c r="AA60" s="7" t="s">
        <v>22</v>
      </c>
    </row>
    <row r="61" spans="2:27" ht="13.8" x14ac:dyDescent="0.25">
      <c r="B61" s="98">
        <v>3</v>
      </c>
      <c r="C61" s="99"/>
      <c r="D61" s="7"/>
      <c r="E61" s="100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2"/>
      <c r="Q61" s="89"/>
      <c r="R61" s="55"/>
      <c r="S61" s="55"/>
      <c r="T61" s="2" t="s">
        <v>9</v>
      </c>
      <c r="U61" s="89"/>
      <c r="V61" s="55"/>
      <c r="W61" s="55"/>
      <c r="X61" s="2" t="s">
        <v>9</v>
      </c>
      <c r="Y61" s="89"/>
      <c r="Z61" s="55"/>
      <c r="AA61" s="7" t="s">
        <v>22</v>
      </c>
    </row>
    <row r="62" spans="2:27" ht="13.8" x14ac:dyDescent="0.25">
      <c r="B62" s="98">
        <v>4</v>
      </c>
      <c r="C62" s="99"/>
      <c r="D62" s="7"/>
      <c r="E62" s="100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2"/>
      <c r="Q62" s="89"/>
      <c r="R62" s="55"/>
      <c r="S62" s="55"/>
      <c r="T62" s="2" t="s">
        <v>9</v>
      </c>
      <c r="U62" s="89"/>
      <c r="V62" s="55"/>
      <c r="W62" s="55"/>
      <c r="X62" s="2" t="s">
        <v>9</v>
      </c>
      <c r="Y62" s="89"/>
      <c r="Z62" s="55"/>
      <c r="AA62" s="7" t="s">
        <v>22</v>
      </c>
    </row>
    <row r="63" spans="2:27" ht="13.8" x14ac:dyDescent="0.25">
      <c r="B63" s="98">
        <v>5</v>
      </c>
      <c r="C63" s="99"/>
      <c r="D63" s="7"/>
      <c r="E63" s="100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2"/>
      <c r="Q63" s="89"/>
      <c r="R63" s="55"/>
      <c r="S63" s="55"/>
      <c r="T63" s="2" t="s">
        <v>9</v>
      </c>
      <c r="U63" s="89"/>
      <c r="V63" s="55"/>
      <c r="W63" s="55"/>
      <c r="X63" s="2" t="s">
        <v>9</v>
      </c>
      <c r="Y63" s="89"/>
      <c r="Z63" s="55"/>
      <c r="AA63" s="7" t="s">
        <v>22</v>
      </c>
    </row>
    <row r="64" spans="2:27" ht="13.8" x14ac:dyDescent="0.25">
      <c r="B64" s="98">
        <v>6</v>
      </c>
      <c r="C64" s="99"/>
      <c r="D64" s="7"/>
      <c r="E64" s="100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2"/>
      <c r="Q64" s="89"/>
      <c r="R64" s="55"/>
      <c r="S64" s="55"/>
      <c r="T64" s="2" t="s">
        <v>9</v>
      </c>
      <c r="U64" s="89"/>
      <c r="V64" s="55"/>
      <c r="W64" s="55"/>
      <c r="X64" s="2" t="s">
        <v>9</v>
      </c>
      <c r="Y64" s="89"/>
      <c r="Z64" s="55"/>
      <c r="AA64" s="7" t="s">
        <v>22</v>
      </c>
    </row>
    <row r="65" spans="1:27" ht="13.8" x14ac:dyDescent="0.25">
      <c r="B65" s="98">
        <v>7</v>
      </c>
      <c r="C65" s="99"/>
      <c r="D65" s="7"/>
      <c r="E65" s="100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2"/>
      <c r="Q65" s="89"/>
      <c r="R65" s="55"/>
      <c r="S65" s="55"/>
      <c r="T65" s="2" t="s">
        <v>9</v>
      </c>
      <c r="U65" s="89"/>
      <c r="V65" s="55"/>
      <c r="W65" s="55"/>
      <c r="X65" s="2" t="s">
        <v>9</v>
      </c>
      <c r="Y65" s="89"/>
      <c r="Z65" s="55"/>
      <c r="AA65" s="7" t="s">
        <v>22</v>
      </c>
    </row>
    <row r="66" spans="1:27" ht="13.8" x14ac:dyDescent="0.25">
      <c r="B66" s="98">
        <v>8</v>
      </c>
      <c r="C66" s="99"/>
      <c r="D66" s="7"/>
      <c r="E66" s="100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2"/>
      <c r="Q66" s="89"/>
      <c r="R66" s="55"/>
      <c r="S66" s="55"/>
      <c r="T66" s="2" t="s">
        <v>9</v>
      </c>
      <c r="U66" s="89"/>
      <c r="V66" s="55"/>
      <c r="W66" s="55"/>
      <c r="X66" s="2" t="s">
        <v>9</v>
      </c>
      <c r="Y66" s="89"/>
      <c r="Z66" s="55"/>
      <c r="AA66" s="7" t="s">
        <v>22</v>
      </c>
    </row>
    <row r="67" spans="1:27" ht="13.8" x14ac:dyDescent="0.25">
      <c r="B67" s="98">
        <v>9</v>
      </c>
      <c r="C67" s="99"/>
      <c r="D67" s="7"/>
      <c r="E67" s="100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2"/>
      <c r="Q67" s="89"/>
      <c r="R67" s="55"/>
      <c r="S67" s="55"/>
      <c r="T67" s="2" t="s">
        <v>9</v>
      </c>
      <c r="U67" s="89"/>
      <c r="V67" s="55"/>
      <c r="W67" s="55"/>
      <c r="X67" s="2" t="s">
        <v>9</v>
      </c>
      <c r="Y67" s="89"/>
      <c r="Z67" s="55"/>
      <c r="AA67" s="7" t="s">
        <v>22</v>
      </c>
    </row>
    <row r="68" spans="1:27" ht="13.8" x14ac:dyDescent="0.25">
      <c r="B68" s="98">
        <v>10</v>
      </c>
      <c r="C68" s="99"/>
      <c r="D68" s="2"/>
      <c r="E68" s="100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2"/>
      <c r="Q68" s="89"/>
      <c r="R68" s="55"/>
      <c r="S68" s="55"/>
      <c r="T68" s="2" t="s">
        <v>9</v>
      </c>
      <c r="U68" s="89"/>
      <c r="V68" s="55"/>
      <c r="W68" s="55"/>
      <c r="X68" s="2" t="s">
        <v>9</v>
      </c>
      <c r="Y68" s="89"/>
      <c r="Z68" s="55"/>
      <c r="AA68" s="7" t="s">
        <v>22</v>
      </c>
    </row>
    <row r="69" spans="1:27" ht="13.8" x14ac:dyDescent="0.25">
      <c r="B69" s="52" t="s">
        <v>25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8"/>
      <c r="Q69" s="94"/>
      <c r="R69" s="95"/>
      <c r="S69" s="95"/>
      <c r="T69" s="10" t="s">
        <v>9</v>
      </c>
      <c r="U69" s="94"/>
      <c r="V69" s="95"/>
      <c r="W69" s="95"/>
      <c r="X69" s="10" t="s">
        <v>9</v>
      </c>
      <c r="Y69" s="94"/>
      <c r="Z69" s="95"/>
      <c r="AA69" s="10" t="s">
        <v>22</v>
      </c>
    </row>
    <row r="70" spans="1:27" ht="18" customHeight="1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3.8" x14ac:dyDescent="0.25">
      <c r="B71" s="109" t="s">
        <v>60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1"/>
      <c r="X71" s="111"/>
      <c r="Y71" s="111"/>
      <c r="Z71" s="111"/>
      <c r="AA71" s="112"/>
    </row>
    <row r="72" spans="1:27" ht="13.8" x14ac:dyDescent="0.25">
      <c r="B72" s="68" t="s">
        <v>61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3"/>
    </row>
    <row r="73" spans="1:27" ht="13.8" x14ac:dyDescent="0.25">
      <c r="B73" s="62" t="s">
        <v>62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104"/>
      <c r="X73" s="104"/>
      <c r="Y73" s="104"/>
      <c r="Z73" s="104"/>
      <c r="AA73" s="7" t="s">
        <v>9</v>
      </c>
    </row>
    <row r="74" spans="1:27" ht="13.8" x14ac:dyDescent="0.2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x14ac:dyDescent="0.25">
      <c r="B75" s="108" t="s">
        <v>11</v>
      </c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</row>
    <row r="76" spans="1:27" ht="13.8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14.25" customHeight="1" x14ac:dyDescent="0.25">
      <c r="A77" s="13"/>
      <c r="B77" s="78"/>
      <c r="C77" s="78"/>
      <c r="D77" s="78"/>
      <c r="E77" s="27" t="s">
        <v>40</v>
      </c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9"/>
    </row>
    <row r="78" spans="1:27" ht="13.8" x14ac:dyDescent="0.2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x14ac:dyDescent="0.25">
      <c r="A79" s="13"/>
      <c r="B79" s="72" t="s">
        <v>63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73"/>
    </row>
    <row r="80" spans="1:27" x14ac:dyDescent="0.25">
      <c r="A80" s="13"/>
      <c r="B80" s="74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49"/>
    </row>
    <row r="81" spans="1:27" ht="28.5" customHeight="1" x14ac:dyDescent="0.25">
      <c r="A81" s="13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7"/>
    </row>
    <row r="82" spans="1:27" ht="13.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8" x14ac:dyDescent="0.25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3.8" x14ac:dyDescent="0.25">
      <c r="B84" s="21" t="s">
        <v>28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4"/>
      <c r="P84" s="70" t="s">
        <v>39</v>
      </c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1"/>
    </row>
    <row r="85" spans="1:27" ht="13.8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3.8" x14ac:dyDescent="0.25">
      <c r="B88" s="1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3.8" x14ac:dyDescent="0.25">
      <c r="B89" s="1"/>
      <c r="C89" s="105" t="s">
        <v>29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7"/>
      <c r="N89" s="17"/>
      <c r="O89" s="17"/>
      <c r="P89" s="17"/>
      <c r="Q89" s="106" t="s">
        <v>30</v>
      </c>
      <c r="R89" s="106"/>
      <c r="S89" s="106"/>
      <c r="T89" s="106"/>
      <c r="U89" s="106"/>
      <c r="V89" s="106"/>
      <c r="W89" s="106"/>
      <c r="X89" s="106"/>
      <c r="Y89" s="106"/>
      <c r="Z89" s="106"/>
      <c r="AA89" s="1"/>
    </row>
  </sheetData>
  <mergeCells count="197">
    <mergeCell ref="B1:E1"/>
    <mergeCell ref="W73:Z73"/>
    <mergeCell ref="B74:AA74"/>
    <mergeCell ref="C89:L89"/>
    <mergeCell ref="M89:P89"/>
    <mergeCell ref="Q89:Z89"/>
    <mergeCell ref="B85:AA85"/>
    <mergeCell ref="C88:L88"/>
    <mergeCell ref="M88:AA88"/>
    <mergeCell ref="B75:AA75"/>
    <mergeCell ref="B76:AA76"/>
    <mergeCell ref="B69:P69"/>
    <mergeCell ref="Q69:S69"/>
    <mergeCell ref="U69:W69"/>
    <mergeCell ref="Y69:Z69"/>
    <mergeCell ref="B70:AA70"/>
    <mergeCell ref="B71:AA71"/>
    <mergeCell ref="B72:AA72"/>
    <mergeCell ref="B73:V73"/>
    <mergeCell ref="Y67:Z67"/>
    <mergeCell ref="B68:C68"/>
    <mergeCell ref="E68:P68"/>
    <mergeCell ref="Q68:S68"/>
    <mergeCell ref="U68:W68"/>
    <mergeCell ref="Y68:Z68"/>
    <mergeCell ref="B67:C67"/>
    <mergeCell ref="E67:P67"/>
    <mergeCell ref="Q67:S67"/>
    <mergeCell ref="U67:W67"/>
    <mergeCell ref="Y65:Z65"/>
    <mergeCell ref="B66:C66"/>
    <mergeCell ref="E66:P66"/>
    <mergeCell ref="Q66:S66"/>
    <mergeCell ref="U66:W66"/>
    <mergeCell ref="Y66:Z66"/>
    <mergeCell ref="B65:C65"/>
    <mergeCell ref="E65:P65"/>
    <mergeCell ref="Q65:S65"/>
    <mergeCell ref="U65:W65"/>
    <mergeCell ref="Y63:Z63"/>
    <mergeCell ref="B64:C64"/>
    <mergeCell ref="E64:P64"/>
    <mergeCell ref="Q64:S64"/>
    <mergeCell ref="U64:W64"/>
    <mergeCell ref="Y64:Z64"/>
    <mergeCell ref="B63:C63"/>
    <mergeCell ref="E63:P63"/>
    <mergeCell ref="Q63:S63"/>
    <mergeCell ref="U63:W63"/>
    <mergeCell ref="Y61:Z61"/>
    <mergeCell ref="B62:C62"/>
    <mergeCell ref="E62:P62"/>
    <mergeCell ref="Q62:S62"/>
    <mergeCell ref="U62:W62"/>
    <mergeCell ref="Y62:Z62"/>
    <mergeCell ref="B61:C61"/>
    <mergeCell ref="E61:P61"/>
    <mergeCell ref="Q61:S61"/>
    <mergeCell ref="U61:W61"/>
    <mergeCell ref="Y59:Z59"/>
    <mergeCell ref="B60:C60"/>
    <mergeCell ref="E60:P60"/>
    <mergeCell ref="Q60:S60"/>
    <mergeCell ref="U60:W60"/>
    <mergeCell ref="Y60:Z60"/>
    <mergeCell ref="B59:C59"/>
    <mergeCell ref="E59:P59"/>
    <mergeCell ref="Q59:S59"/>
    <mergeCell ref="U59:W59"/>
    <mergeCell ref="B55:T55"/>
    <mergeCell ref="U55:W55"/>
    <mergeCell ref="Y55:Z55"/>
    <mergeCell ref="B56:AA56"/>
    <mergeCell ref="B57:AA57"/>
    <mergeCell ref="B58:D58"/>
    <mergeCell ref="E58:P58"/>
    <mergeCell ref="Q58:T58"/>
    <mergeCell ref="U58:AA58"/>
    <mergeCell ref="Y53:Z53"/>
    <mergeCell ref="B54:C54"/>
    <mergeCell ref="E54:T54"/>
    <mergeCell ref="U54:W54"/>
    <mergeCell ref="Y54:Z54"/>
    <mergeCell ref="Y47:AA47"/>
    <mergeCell ref="B52:C52"/>
    <mergeCell ref="E52:T52"/>
    <mergeCell ref="U52:W52"/>
    <mergeCell ref="Y52:Z52"/>
    <mergeCell ref="U50:AA50"/>
    <mergeCell ref="B51:C51"/>
    <mergeCell ref="E51:T51"/>
    <mergeCell ref="U51:W51"/>
    <mergeCell ref="Y51:Z51"/>
    <mergeCell ref="C41:Z41"/>
    <mergeCell ref="B37:M37"/>
    <mergeCell ref="B78:AA78"/>
    <mergeCell ref="P84:AA84"/>
    <mergeCell ref="B84:N84"/>
    <mergeCell ref="B79:AA81"/>
    <mergeCell ref="E77:X77"/>
    <mergeCell ref="Y77:AA77"/>
    <mergeCell ref="B48:AA48"/>
    <mergeCell ref="B49:AA49"/>
    <mergeCell ref="B77:D77"/>
    <mergeCell ref="B42:AA42"/>
    <mergeCell ref="B43:AA43"/>
    <mergeCell ref="B44:AA44"/>
    <mergeCell ref="C45:Z45"/>
    <mergeCell ref="B50:D50"/>
    <mergeCell ref="E50:T50"/>
    <mergeCell ref="B46:AA46"/>
    <mergeCell ref="B47:D47"/>
    <mergeCell ref="E47:X47"/>
    <mergeCell ref="B39:AA39"/>
    <mergeCell ref="B53:C53"/>
    <mergeCell ref="E53:T53"/>
    <mergeCell ref="U53:W53"/>
    <mergeCell ref="B33:AA33"/>
    <mergeCell ref="B34:AA34"/>
    <mergeCell ref="B30:H30"/>
    <mergeCell ref="I30:Z30"/>
    <mergeCell ref="B31:AA31"/>
    <mergeCell ref="B32:D32"/>
    <mergeCell ref="E32:X32"/>
    <mergeCell ref="Y32:AA32"/>
    <mergeCell ref="B28:G28"/>
    <mergeCell ref="H28:M28"/>
    <mergeCell ref="O28:P28"/>
    <mergeCell ref="Q28:Z28"/>
    <mergeCell ref="B29:S29"/>
    <mergeCell ref="T29:Z29"/>
    <mergeCell ref="B40:AA40"/>
    <mergeCell ref="B35:I35"/>
    <mergeCell ref="K35:R35"/>
    <mergeCell ref="T35:AA35"/>
    <mergeCell ref="B36:M36"/>
    <mergeCell ref="N36:O36"/>
    <mergeCell ref="P36:AA36"/>
    <mergeCell ref="N37:O37"/>
    <mergeCell ref="P37:AA37"/>
    <mergeCell ref="B38:AA38"/>
    <mergeCell ref="B24:AA24"/>
    <mergeCell ref="B25:D25"/>
    <mergeCell ref="E25:X25"/>
    <mergeCell ref="Y25:AA25"/>
    <mergeCell ref="B26:AA26"/>
    <mergeCell ref="B27:G27"/>
    <mergeCell ref="H27:M27"/>
    <mergeCell ref="O27:T27"/>
    <mergeCell ref="U27:Z27"/>
    <mergeCell ref="Y19:AA19"/>
    <mergeCell ref="B20:AA20"/>
    <mergeCell ref="B23:H23"/>
    <mergeCell ref="O23:T23"/>
    <mergeCell ref="B16:E17"/>
    <mergeCell ref="F16:H16"/>
    <mergeCell ref="B22:H22"/>
    <mergeCell ref="I22:Z22"/>
    <mergeCell ref="B21:H21"/>
    <mergeCell ref="I21:Z21"/>
    <mergeCell ref="B19:D19"/>
    <mergeCell ref="E19:X19"/>
    <mergeCell ref="B18:AA18"/>
    <mergeCell ref="I17:Z17"/>
    <mergeCell ref="F17:H17"/>
    <mergeCell ref="I16:Z16"/>
    <mergeCell ref="I15:Z15"/>
    <mergeCell ref="M13:Z13"/>
    <mergeCell ref="F9:H9"/>
    <mergeCell ref="I14:L14"/>
    <mergeCell ref="B12:H12"/>
    <mergeCell ref="B15:E15"/>
    <mergeCell ref="F15:H15"/>
    <mergeCell ref="B11:H11"/>
    <mergeCell ref="I11:L11"/>
    <mergeCell ref="I12:L12"/>
    <mergeCell ref="M11:Z11"/>
    <mergeCell ref="M12:Z12"/>
    <mergeCell ref="M14:Z14"/>
    <mergeCell ref="B14:H14"/>
    <mergeCell ref="I10:N10"/>
    <mergeCell ref="O10:R10"/>
    <mergeCell ref="S10:Z10"/>
    <mergeCell ref="B3:AA3"/>
    <mergeCell ref="B4:AA4"/>
    <mergeCell ref="B5:AA5"/>
    <mergeCell ref="B6:AA6"/>
    <mergeCell ref="B8:AA8"/>
    <mergeCell ref="B13:H13"/>
    <mergeCell ref="I13:L13"/>
    <mergeCell ref="E7:X7"/>
    <mergeCell ref="Y7:AA7"/>
    <mergeCell ref="B7:D7"/>
    <mergeCell ref="B9:E9"/>
    <mergeCell ref="B10:E10"/>
    <mergeCell ref="F10:H10"/>
    <mergeCell ref="I9:Z9"/>
  </mergeCells>
  <phoneticPr fontId="10" type="noConversion"/>
  <pageMargins left="0.39370078740157483" right="0.19685039370078741" top="0.59055118110236227" bottom="0.59055118110236227" header="0.51181102362204722" footer="0.51181102362204722"/>
  <pageSetup paperSize="9" orientation="portrait" verticalDpi="300" r:id="rId1"/>
  <headerFooter alignWithMargins="0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V11"/>
  <sheetViews>
    <sheetView workbookViewId="0"/>
  </sheetViews>
  <sheetFormatPr defaultRowHeight="13.2" x14ac:dyDescent="0.25"/>
  <sheetData>
    <row r="1" spans="1:256" x14ac:dyDescent="0.25">
      <c r="A1">
        <f>IF(List1!3:3,"AAAAAGr7+QA=",0)</f>
        <v>0</v>
      </c>
      <c r="B1" t="e">
        <f>AND(List1!A3,"AAAAAGr7+QE=")</f>
        <v>#VALUE!</v>
      </c>
      <c r="C1" t="e">
        <f>AND(List1!B3,"AAAAAGr7+QI=")</f>
        <v>#VALUE!</v>
      </c>
      <c r="D1" t="e">
        <f>AND(List1!C3,"AAAAAGr7+QM=")</f>
        <v>#VALUE!</v>
      </c>
      <c r="E1" t="e">
        <f>AND(List1!D3,"AAAAAGr7+QQ=")</f>
        <v>#VALUE!</v>
      </c>
      <c r="F1" t="e">
        <f>AND(List1!E3,"AAAAAGr7+QU=")</f>
        <v>#VALUE!</v>
      </c>
      <c r="G1" t="e">
        <f>AND(List1!F3,"AAAAAGr7+QY=")</f>
        <v>#VALUE!</v>
      </c>
      <c r="H1" t="e">
        <f>AND(List1!G3,"AAAAAGr7+Qc=")</f>
        <v>#VALUE!</v>
      </c>
      <c r="I1" t="e">
        <f>AND(List1!H3,"AAAAAGr7+Qg=")</f>
        <v>#VALUE!</v>
      </c>
      <c r="J1" t="e">
        <f>AND(List1!I3,"AAAAAGr7+Qk=")</f>
        <v>#VALUE!</v>
      </c>
      <c r="K1" t="e">
        <f>AND(List1!J3,"AAAAAGr7+Qo=")</f>
        <v>#VALUE!</v>
      </c>
      <c r="L1" t="e">
        <f>AND(List1!K3,"AAAAAGr7+Qs=")</f>
        <v>#VALUE!</v>
      </c>
      <c r="M1" t="e">
        <f>AND(List1!L3,"AAAAAGr7+Qw=")</f>
        <v>#VALUE!</v>
      </c>
      <c r="N1" t="e">
        <f>AND(List1!M3,"AAAAAGr7+Q0=")</f>
        <v>#VALUE!</v>
      </c>
      <c r="O1" t="e">
        <f>AND(List1!N3,"AAAAAGr7+Q4=")</f>
        <v>#VALUE!</v>
      </c>
      <c r="P1" t="e">
        <f>AND(List1!O3,"AAAAAGr7+Q8=")</f>
        <v>#VALUE!</v>
      </c>
      <c r="Q1" t="e">
        <f>AND(List1!P3,"AAAAAGr7+RA=")</f>
        <v>#VALUE!</v>
      </c>
      <c r="R1" t="e">
        <f>AND(List1!Q3,"AAAAAGr7+RE=")</f>
        <v>#VALUE!</v>
      </c>
      <c r="S1" t="e">
        <f>AND(List1!R3,"AAAAAGr7+RI=")</f>
        <v>#VALUE!</v>
      </c>
      <c r="T1" t="e">
        <f>AND(List1!S3,"AAAAAGr7+RM=")</f>
        <v>#VALUE!</v>
      </c>
      <c r="U1" t="e">
        <f>AND(List1!T3,"AAAAAGr7+RQ=")</f>
        <v>#VALUE!</v>
      </c>
      <c r="V1" t="e">
        <f>AND(List1!U3,"AAAAAGr7+RU=")</f>
        <v>#VALUE!</v>
      </c>
      <c r="W1" t="e">
        <f>AND(List1!V3,"AAAAAGr7+RY=")</f>
        <v>#VALUE!</v>
      </c>
      <c r="X1" t="e">
        <f>AND(List1!W3,"AAAAAGr7+Rc=")</f>
        <v>#VALUE!</v>
      </c>
      <c r="Y1" t="e">
        <f>AND(List1!X3,"AAAAAGr7+Rg=")</f>
        <v>#VALUE!</v>
      </c>
      <c r="Z1" t="e">
        <f>AND(List1!Y3,"AAAAAGr7+Rk=")</f>
        <v>#VALUE!</v>
      </c>
      <c r="AA1" t="e">
        <f>AND(List1!Z3,"AAAAAGr7+Ro=")</f>
        <v>#VALUE!</v>
      </c>
      <c r="AB1" t="e">
        <f>AND(List1!AA3,"AAAAAGr7+Rs=")</f>
        <v>#VALUE!</v>
      </c>
      <c r="AC1" t="e">
        <f>AND(List1!AB3,"AAAAAGr7+Rw=")</f>
        <v>#VALUE!</v>
      </c>
      <c r="AD1" t="e">
        <f>AND(List1!AC3,"AAAAAGr7+R0=")</f>
        <v>#VALUE!</v>
      </c>
      <c r="AE1" t="e">
        <f>AND(List1!AD3,"AAAAAGr7+R4=")</f>
        <v>#VALUE!</v>
      </c>
      <c r="AF1" t="e">
        <f>AND(List1!AE3,"AAAAAGr7+R8=")</f>
        <v>#VALUE!</v>
      </c>
      <c r="AG1">
        <f>IF(List1!4:4,"AAAAAGr7+SA=",0)</f>
        <v>0</v>
      </c>
      <c r="AH1" t="e">
        <f>AND(List1!A4,"AAAAAGr7+SE=")</f>
        <v>#VALUE!</v>
      </c>
      <c r="AI1" t="e">
        <f>AND(List1!B4,"AAAAAGr7+SI=")</f>
        <v>#VALUE!</v>
      </c>
      <c r="AJ1" t="e">
        <f>AND(List1!C4,"AAAAAGr7+SM=")</f>
        <v>#VALUE!</v>
      </c>
      <c r="AK1" t="e">
        <f>AND(List1!D4,"AAAAAGr7+SQ=")</f>
        <v>#VALUE!</v>
      </c>
      <c r="AL1" t="e">
        <f>AND(List1!E4,"AAAAAGr7+SU=")</f>
        <v>#VALUE!</v>
      </c>
      <c r="AM1" t="e">
        <f>AND(List1!F4,"AAAAAGr7+SY=")</f>
        <v>#VALUE!</v>
      </c>
      <c r="AN1" t="e">
        <f>AND(List1!G4,"AAAAAGr7+Sc=")</f>
        <v>#VALUE!</v>
      </c>
      <c r="AO1" t="e">
        <f>AND(List1!H4,"AAAAAGr7+Sg=")</f>
        <v>#VALUE!</v>
      </c>
      <c r="AP1" t="e">
        <f>AND(List1!I4,"AAAAAGr7+Sk=")</f>
        <v>#VALUE!</v>
      </c>
      <c r="AQ1" t="e">
        <f>AND(List1!J4,"AAAAAGr7+So=")</f>
        <v>#VALUE!</v>
      </c>
      <c r="AR1" t="e">
        <f>AND(List1!K4,"AAAAAGr7+Ss=")</f>
        <v>#VALUE!</v>
      </c>
      <c r="AS1" t="e">
        <f>AND(List1!L4,"AAAAAGr7+Sw=")</f>
        <v>#VALUE!</v>
      </c>
      <c r="AT1" t="e">
        <f>AND(List1!M4,"AAAAAGr7+S0=")</f>
        <v>#VALUE!</v>
      </c>
      <c r="AU1" t="e">
        <f>AND(List1!N4,"AAAAAGr7+S4=")</f>
        <v>#VALUE!</v>
      </c>
      <c r="AV1" t="e">
        <f>AND(List1!O4,"AAAAAGr7+S8=")</f>
        <v>#VALUE!</v>
      </c>
      <c r="AW1" t="e">
        <f>AND(List1!P4,"AAAAAGr7+TA=")</f>
        <v>#VALUE!</v>
      </c>
      <c r="AX1" t="e">
        <f>AND(List1!Q4,"AAAAAGr7+TE=")</f>
        <v>#VALUE!</v>
      </c>
      <c r="AY1" t="e">
        <f>AND(List1!R4,"AAAAAGr7+TI=")</f>
        <v>#VALUE!</v>
      </c>
      <c r="AZ1" t="e">
        <f>AND(List1!S4,"AAAAAGr7+TM=")</f>
        <v>#VALUE!</v>
      </c>
      <c r="BA1" t="e">
        <f>AND(List1!T4,"AAAAAGr7+TQ=")</f>
        <v>#VALUE!</v>
      </c>
      <c r="BB1" t="e">
        <f>AND(List1!U4,"AAAAAGr7+TU=")</f>
        <v>#VALUE!</v>
      </c>
      <c r="BC1" t="e">
        <f>AND(List1!V4,"AAAAAGr7+TY=")</f>
        <v>#VALUE!</v>
      </c>
      <c r="BD1" t="e">
        <f>AND(List1!W4,"AAAAAGr7+Tc=")</f>
        <v>#VALUE!</v>
      </c>
      <c r="BE1" t="e">
        <f>AND(List1!X4,"AAAAAGr7+Tg=")</f>
        <v>#VALUE!</v>
      </c>
      <c r="BF1" t="e">
        <f>AND(List1!Y4,"AAAAAGr7+Tk=")</f>
        <v>#VALUE!</v>
      </c>
      <c r="BG1" t="e">
        <f>AND(List1!Z4,"AAAAAGr7+To=")</f>
        <v>#VALUE!</v>
      </c>
      <c r="BH1" t="e">
        <f>AND(List1!AA4,"AAAAAGr7+Ts=")</f>
        <v>#VALUE!</v>
      </c>
      <c r="BI1" t="e">
        <f>AND(List1!AB4,"AAAAAGr7+Tw=")</f>
        <v>#VALUE!</v>
      </c>
      <c r="BJ1" t="e">
        <f>AND(List1!AC4,"AAAAAGr7+T0=")</f>
        <v>#VALUE!</v>
      </c>
      <c r="BK1" t="e">
        <f>AND(List1!AD4,"AAAAAGr7+T4=")</f>
        <v>#VALUE!</v>
      </c>
      <c r="BL1" t="e">
        <f>AND(List1!AE4,"AAAAAGr7+T8=")</f>
        <v>#VALUE!</v>
      </c>
      <c r="BM1">
        <f>IF(List1!5:5,"AAAAAGr7+UA=",0)</f>
        <v>0</v>
      </c>
      <c r="BN1" t="e">
        <f>AND(List1!A5,"AAAAAGr7+UE=")</f>
        <v>#VALUE!</v>
      </c>
      <c r="BO1" t="e">
        <f>AND(List1!B5,"AAAAAGr7+UI=")</f>
        <v>#VALUE!</v>
      </c>
      <c r="BP1" t="e">
        <f>AND(List1!C5,"AAAAAGr7+UM=")</f>
        <v>#VALUE!</v>
      </c>
      <c r="BQ1" t="e">
        <f>AND(List1!D5,"AAAAAGr7+UQ=")</f>
        <v>#VALUE!</v>
      </c>
      <c r="BR1" t="e">
        <f>AND(List1!E5,"AAAAAGr7+UU=")</f>
        <v>#VALUE!</v>
      </c>
      <c r="BS1" t="e">
        <f>AND(List1!F5,"AAAAAGr7+UY=")</f>
        <v>#VALUE!</v>
      </c>
      <c r="BT1" t="e">
        <f>AND(List1!G5,"AAAAAGr7+Uc=")</f>
        <v>#VALUE!</v>
      </c>
      <c r="BU1" t="e">
        <f>AND(List1!H5,"AAAAAGr7+Ug=")</f>
        <v>#VALUE!</v>
      </c>
      <c r="BV1" t="e">
        <f>AND(List1!I5,"AAAAAGr7+Uk=")</f>
        <v>#VALUE!</v>
      </c>
      <c r="BW1" t="e">
        <f>AND(List1!J5,"AAAAAGr7+Uo=")</f>
        <v>#VALUE!</v>
      </c>
      <c r="BX1" t="e">
        <f>AND(List1!K5,"AAAAAGr7+Us=")</f>
        <v>#VALUE!</v>
      </c>
      <c r="BY1" t="e">
        <f>AND(List1!L5,"AAAAAGr7+Uw=")</f>
        <v>#VALUE!</v>
      </c>
      <c r="BZ1" t="e">
        <f>AND(List1!M5,"AAAAAGr7+U0=")</f>
        <v>#VALUE!</v>
      </c>
      <c r="CA1" t="e">
        <f>AND(List1!N5,"AAAAAGr7+U4=")</f>
        <v>#VALUE!</v>
      </c>
      <c r="CB1" t="e">
        <f>AND(List1!O5,"AAAAAGr7+U8=")</f>
        <v>#VALUE!</v>
      </c>
      <c r="CC1" t="e">
        <f>AND(List1!P5,"AAAAAGr7+VA=")</f>
        <v>#VALUE!</v>
      </c>
      <c r="CD1" t="e">
        <f>AND(List1!Q5,"AAAAAGr7+VE=")</f>
        <v>#VALUE!</v>
      </c>
      <c r="CE1" t="e">
        <f>AND(List1!R5,"AAAAAGr7+VI=")</f>
        <v>#VALUE!</v>
      </c>
      <c r="CF1" t="e">
        <f>AND(List1!S5,"AAAAAGr7+VM=")</f>
        <v>#VALUE!</v>
      </c>
      <c r="CG1" t="e">
        <f>AND(List1!T5,"AAAAAGr7+VQ=")</f>
        <v>#VALUE!</v>
      </c>
      <c r="CH1" t="e">
        <f>AND(List1!U5,"AAAAAGr7+VU=")</f>
        <v>#VALUE!</v>
      </c>
      <c r="CI1" t="e">
        <f>AND(List1!V5,"AAAAAGr7+VY=")</f>
        <v>#VALUE!</v>
      </c>
      <c r="CJ1" t="e">
        <f>AND(List1!W5,"AAAAAGr7+Vc=")</f>
        <v>#VALUE!</v>
      </c>
      <c r="CK1" t="e">
        <f>AND(List1!X5,"AAAAAGr7+Vg=")</f>
        <v>#VALUE!</v>
      </c>
      <c r="CL1" t="e">
        <f>AND(List1!Y5,"AAAAAGr7+Vk=")</f>
        <v>#VALUE!</v>
      </c>
      <c r="CM1" t="e">
        <f>AND(List1!Z5,"AAAAAGr7+Vo=")</f>
        <v>#VALUE!</v>
      </c>
      <c r="CN1" t="e">
        <f>AND(List1!AA5,"AAAAAGr7+Vs=")</f>
        <v>#VALUE!</v>
      </c>
      <c r="CO1" t="e">
        <f>AND(List1!AB5,"AAAAAGr7+Vw=")</f>
        <v>#VALUE!</v>
      </c>
      <c r="CP1" t="e">
        <f>AND(List1!AC5,"AAAAAGr7+V0=")</f>
        <v>#VALUE!</v>
      </c>
      <c r="CQ1" t="e">
        <f>AND(List1!AD5,"AAAAAGr7+V4=")</f>
        <v>#VALUE!</v>
      </c>
      <c r="CR1" t="e">
        <f>AND(List1!AE5,"AAAAAGr7+V8=")</f>
        <v>#VALUE!</v>
      </c>
      <c r="CS1">
        <f>IF(List1!6:6,"AAAAAGr7+WA=",0)</f>
        <v>0</v>
      </c>
      <c r="CT1" t="e">
        <f>AND(List1!A6,"AAAAAGr7+WE=")</f>
        <v>#VALUE!</v>
      </c>
      <c r="CU1" t="e">
        <f>AND(List1!B6,"AAAAAGr7+WI=")</f>
        <v>#VALUE!</v>
      </c>
      <c r="CV1" t="e">
        <f>AND(List1!C6,"AAAAAGr7+WM=")</f>
        <v>#VALUE!</v>
      </c>
      <c r="CW1" t="e">
        <f>AND(List1!D6,"AAAAAGr7+WQ=")</f>
        <v>#VALUE!</v>
      </c>
      <c r="CX1" t="e">
        <f>AND(List1!E6,"AAAAAGr7+WU=")</f>
        <v>#VALUE!</v>
      </c>
      <c r="CY1" t="e">
        <f>AND(List1!F6,"AAAAAGr7+WY=")</f>
        <v>#VALUE!</v>
      </c>
      <c r="CZ1" t="e">
        <f>AND(List1!G6,"AAAAAGr7+Wc=")</f>
        <v>#VALUE!</v>
      </c>
      <c r="DA1" t="e">
        <f>AND(List1!H6,"AAAAAGr7+Wg=")</f>
        <v>#VALUE!</v>
      </c>
      <c r="DB1" t="e">
        <f>AND(List1!I6,"AAAAAGr7+Wk=")</f>
        <v>#VALUE!</v>
      </c>
      <c r="DC1" t="e">
        <f>AND(List1!J6,"AAAAAGr7+Wo=")</f>
        <v>#VALUE!</v>
      </c>
      <c r="DD1" t="e">
        <f>AND(List1!K6,"AAAAAGr7+Ws=")</f>
        <v>#VALUE!</v>
      </c>
      <c r="DE1" t="e">
        <f>AND(List1!L6,"AAAAAGr7+Ww=")</f>
        <v>#VALUE!</v>
      </c>
      <c r="DF1" t="e">
        <f>AND(List1!M6,"AAAAAGr7+W0=")</f>
        <v>#VALUE!</v>
      </c>
      <c r="DG1" t="e">
        <f>AND(List1!N6,"AAAAAGr7+W4=")</f>
        <v>#VALUE!</v>
      </c>
      <c r="DH1" t="e">
        <f>AND(List1!O6,"AAAAAGr7+W8=")</f>
        <v>#VALUE!</v>
      </c>
      <c r="DI1" t="e">
        <f>AND(List1!P6,"AAAAAGr7+XA=")</f>
        <v>#VALUE!</v>
      </c>
      <c r="DJ1" t="e">
        <f>AND(List1!Q6,"AAAAAGr7+XE=")</f>
        <v>#VALUE!</v>
      </c>
      <c r="DK1" t="e">
        <f>AND(List1!R6,"AAAAAGr7+XI=")</f>
        <v>#VALUE!</v>
      </c>
      <c r="DL1" t="e">
        <f>AND(List1!S6,"AAAAAGr7+XM=")</f>
        <v>#VALUE!</v>
      </c>
      <c r="DM1" t="e">
        <f>AND(List1!T6,"AAAAAGr7+XQ=")</f>
        <v>#VALUE!</v>
      </c>
      <c r="DN1" t="e">
        <f>AND(List1!U6,"AAAAAGr7+XU=")</f>
        <v>#VALUE!</v>
      </c>
      <c r="DO1" t="e">
        <f>AND(List1!V6,"AAAAAGr7+XY=")</f>
        <v>#VALUE!</v>
      </c>
      <c r="DP1" t="e">
        <f>AND(List1!W6,"AAAAAGr7+Xc=")</f>
        <v>#VALUE!</v>
      </c>
      <c r="DQ1" t="e">
        <f>AND(List1!X6,"AAAAAGr7+Xg=")</f>
        <v>#VALUE!</v>
      </c>
      <c r="DR1" t="e">
        <f>AND(List1!Y6,"AAAAAGr7+Xk=")</f>
        <v>#VALUE!</v>
      </c>
      <c r="DS1" t="e">
        <f>AND(List1!Z6,"AAAAAGr7+Xo=")</f>
        <v>#VALUE!</v>
      </c>
      <c r="DT1" t="e">
        <f>AND(List1!AA6,"AAAAAGr7+Xs=")</f>
        <v>#VALUE!</v>
      </c>
      <c r="DU1" t="e">
        <f>AND(List1!AB6,"AAAAAGr7+Xw=")</f>
        <v>#VALUE!</v>
      </c>
      <c r="DV1" t="e">
        <f>AND(List1!AC6,"AAAAAGr7+X0=")</f>
        <v>#VALUE!</v>
      </c>
      <c r="DW1" t="e">
        <f>AND(List1!AD6,"AAAAAGr7+X4=")</f>
        <v>#VALUE!</v>
      </c>
      <c r="DX1" t="e">
        <f>AND(List1!AE6,"AAAAAGr7+X8=")</f>
        <v>#VALUE!</v>
      </c>
      <c r="DY1">
        <f>IF(List1!7:7,"AAAAAGr7+YA=",0)</f>
        <v>0</v>
      </c>
      <c r="DZ1" t="e">
        <f>AND(List1!A7,"AAAAAGr7+YE=")</f>
        <v>#VALUE!</v>
      </c>
      <c r="EA1" t="e">
        <f>AND(List1!B7,"AAAAAGr7+YI=")</f>
        <v>#VALUE!</v>
      </c>
      <c r="EB1" t="e">
        <f>AND(List1!C7,"AAAAAGr7+YM=")</f>
        <v>#VALUE!</v>
      </c>
      <c r="EC1" t="e">
        <f>AND(List1!D7,"AAAAAGr7+YQ=")</f>
        <v>#VALUE!</v>
      </c>
      <c r="ED1" t="e">
        <f>AND(List1!E7,"AAAAAGr7+YU=")</f>
        <v>#VALUE!</v>
      </c>
      <c r="EE1" t="e">
        <f>AND(List1!F7,"AAAAAGr7+YY=")</f>
        <v>#VALUE!</v>
      </c>
      <c r="EF1" t="e">
        <f>AND(List1!G7,"AAAAAGr7+Yc=")</f>
        <v>#VALUE!</v>
      </c>
      <c r="EG1" t="e">
        <f>AND(List1!H7,"AAAAAGr7+Yg=")</f>
        <v>#VALUE!</v>
      </c>
      <c r="EH1" t="e">
        <f>AND(List1!I7,"AAAAAGr7+Yk=")</f>
        <v>#VALUE!</v>
      </c>
      <c r="EI1" t="e">
        <f>AND(List1!J7,"AAAAAGr7+Yo=")</f>
        <v>#VALUE!</v>
      </c>
      <c r="EJ1" t="e">
        <f>AND(List1!K7,"AAAAAGr7+Ys=")</f>
        <v>#VALUE!</v>
      </c>
      <c r="EK1" t="e">
        <f>AND(List1!L7,"AAAAAGr7+Yw=")</f>
        <v>#VALUE!</v>
      </c>
      <c r="EL1" t="e">
        <f>AND(List1!M7,"AAAAAGr7+Y0=")</f>
        <v>#VALUE!</v>
      </c>
      <c r="EM1" t="e">
        <f>AND(List1!N7,"AAAAAGr7+Y4=")</f>
        <v>#VALUE!</v>
      </c>
      <c r="EN1" t="e">
        <f>AND(List1!O7,"AAAAAGr7+Y8=")</f>
        <v>#VALUE!</v>
      </c>
      <c r="EO1" t="e">
        <f>AND(List1!P7,"AAAAAGr7+ZA=")</f>
        <v>#VALUE!</v>
      </c>
      <c r="EP1" t="e">
        <f>AND(List1!Q7,"AAAAAGr7+ZE=")</f>
        <v>#VALUE!</v>
      </c>
      <c r="EQ1" t="e">
        <f>AND(List1!R7,"AAAAAGr7+ZI=")</f>
        <v>#VALUE!</v>
      </c>
      <c r="ER1" t="e">
        <f>AND(List1!S7,"AAAAAGr7+ZM=")</f>
        <v>#VALUE!</v>
      </c>
      <c r="ES1" t="e">
        <f>AND(List1!T7,"AAAAAGr7+ZQ=")</f>
        <v>#VALUE!</v>
      </c>
      <c r="ET1" t="e">
        <f>AND(List1!U7,"AAAAAGr7+ZU=")</f>
        <v>#VALUE!</v>
      </c>
      <c r="EU1" t="e">
        <f>AND(List1!V7,"AAAAAGr7+ZY=")</f>
        <v>#VALUE!</v>
      </c>
      <c r="EV1" t="e">
        <f>AND(List1!W7,"AAAAAGr7+Zc=")</f>
        <v>#VALUE!</v>
      </c>
      <c r="EW1" t="e">
        <f>AND(List1!X7,"AAAAAGr7+Zg=")</f>
        <v>#VALUE!</v>
      </c>
      <c r="EX1" t="e">
        <f>AND(List1!Y7,"AAAAAGr7+Zk=")</f>
        <v>#VALUE!</v>
      </c>
      <c r="EY1" t="e">
        <f>AND(List1!Z7,"AAAAAGr7+Zo=")</f>
        <v>#VALUE!</v>
      </c>
      <c r="EZ1" t="e">
        <f>AND(List1!AA7,"AAAAAGr7+Zs=")</f>
        <v>#VALUE!</v>
      </c>
      <c r="FA1" t="e">
        <f>AND(List1!AB7,"AAAAAGr7+Zw=")</f>
        <v>#VALUE!</v>
      </c>
      <c r="FB1" t="e">
        <f>AND(List1!AC7,"AAAAAGr7+Z0=")</f>
        <v>#VALUE!</v>
      </c>
      <c r="FC1" t="e">
        <f>AND(List1!AD7,"AAAAAGr7+Z4=")</f>
        <v>#VALUE!</v>
      </c>
      <c r="FD1" t="e">
        <f>AND(List1!AE7,"AAAAAGr7+Z8=")</f>
        <v>#VALUE!</v>
      </c>
      <c r="FE1">
        <f>IF(List1!8:8,"AAAAAGr7+aA=",0)</f>
        <v>0</v>
      </c>
      <c r="FF1" t="e">
        <f>AND(List1!A8,"AAAAAGr7+aE=")</f>
        <v>#VALUE!</v>
      </c>
      <c r="FG1" t="e">
        <f>AND(List1!B8,"AAAAAGr7+aI=")</f>
        <v>#VALUE!</v>
      </c>
      <c r="FH1" t="e">
        <f>AND(List1!C8,"AAAAAGr7+aM=")</f>
        <v>#VALUE!</v>
      </c>
      <c r="FI1" t="e">
        <f>AND(List1!D8,"AAAAAGr7+aQ=")</f>
        <v>#VALUE!</v>
      </c>
      <c r="FJ1" t="e">
        <f>AND(List1!E8,"AAAAAGr7+aU=")</f>
        <v>#VALUE!</v>
      </c>
      <c r="FK1" t="e">
        <f>AND(List1!F8,"AAAAAGr7+aY=")</f>
        <v>#VALUE!</v>
      </c>
      <c r="FL1" t="e">
        <f>AND(List1!G8,"AAAAAGr7+ac=")</f>
        <v>#VALUE!</v>
      </c>
      <c r="FM1" t="e">
        <f>AND(List1!H8,"AAAAAGr7+ag=")</f>
        <v>#VALUE!</v>
      </c>
      <c r="FN1" t="e">
        <f>AND(List1!I8,"AAAAAGr7+ak=")</f>
        <v>#VALUE!</v>
      </c>
      <c r="FO1" t="e">
        <f>AND(List1!J8,"AAAAAGr7+ao=")</f>
        <v>#VALUE!</v>
      </c>
      <c r="FP1" t="e">
        <f>AND(List1!K8,"AAAAAGr7+as=")</f>
        <v>#VALUE!</v>
      </c>
      <c r="FQ1" t="e">
        <f>AND(List1!L8,"AAAAAGr7+aw=")</f>
        <v>#VALUE!</v>
      </c>
      <c r="FR1" t="e">
        <f>AND(List1!M8,"AAAAAGr7+a0=")</f>
        <v>#VALUE!</v>
      </c>
      <c r="FS1" t="e">
        <f>AND(List1!N8,"AAAAAGr7+a4=")</f>
        <v>#VALUE!</v>
      </c>
      <c r="FT1" t="e">
        <f>AND(List1!O8,"AAAAAGr7+a8=")</f>
        <v>#VALUE!</v>
      </c>
      <c r="FU1" t="e">
        <f>AND(List1!P8,"AAAAAGr7+bA=")</f>
        <v>#VALUE!</v>
      </c>
      <c r="FV1" t="e">
        <f>AND(List1!Q8,"AAAAAGr7+bE=")</f>
        <v>#VALUE!</v>
      </c>
      <c r="FW1" t="e">
        <f>AND(List1!R8,"AAAAAGr7+bI=")</f>
        <v>#VALUE!</v>
      </c>
      <c r="FX1" t="e">
        <f>AND(List1!S8,"AAAAAGr7+bM=")</f>
        <v>#VALUE!</v>
      </c>
      <c r="FY1" t="e">
        <f>AND(List1!T8,"AAAAAGr7+bQ=")</f>
        <v>#VALUE!</v>
      </c>
      <c r="FZ1" t="e">
        <f>AND(List1!U8,"AAAAAGr7+bU=")</f>
        <v>#VALUE!</v>
      </c>
      <c r="GA1" t="e">
        <f>AND(List1!V8,"AAAAAGr7+bY=")</f>
        <v>#VALUE!</v>
      </c>
      <c r="GB1" t="e">
        <f>AND(List1!W8,"AAAAAGr7+bc=")</f>
        <v>#VALUE!</v>
      </c>
      <c r="GC1" t="e">
        <f>AND(List1!X8,"AAAAAGr7+bg=")</f>
        <v>#VALUE!</v>
      </c>
      <c r="GD1" t="e">
        <f>AND(List1!Y8,"AAAAAGr7+bk=")</f>
        <v>#VALUE!</v>
      </c>
      <c r="GE1" t="e">
        <f>AND(List1!Z8,"AAAAAGr7+bo=")</f>
        <v>#VALUE!</v>
      </c>
      <c r="GF1" t="e">
        <f>AND(List1!AA8,"AAAAAGr7+bs=")</f>
        <v>#VALUE!</v>
      </c>
      <c r="GG1" t="e">
        <f>AND(List1!AB8,"AAAAAGr7+bw=")</f>
        <v>#VALUE!</v>
      </c>
      <c r="GH1" t="e">
        <f>AND(List1!AC8,"AAAAAGr7+b0=")</f>
        <v>#VALUE!</v>
      </c>
      <c r="GI1" t="e">
        <f>AND(List1!AD8,"AAAAAGr7+b4=")</f>
        <v>#VALUE!</v>
      </c>
      <c r="GJ1" t="e">
        <f>AND(List1!AE8,"AAAAAGr7+b8=")</f>
        <v>#VALUE!</v>
      </c>
      <c r="GK1">
        <f>IF(List1!9:9,"AAAAAGr7+cA=",0)</f>
        <v>0</v>
      </c>
      <c r="GL1" t="e">
        <f>AND(List1!A9,"AAAAAGr7+cE=")</f>
        <v>#VALUE!</v>
      </c>
      <c r="GM1" t="e">
        <f>AND(List1!B9,"AAAAAGr7+cI=")</f>
        <v>#VALUE!</v>
      </c>
      <c r="GN1" t="e">
        <f>AND(List1!C9,"AAAAAGr7+cM=")</f>
        <v>#VALUE!</v>
      </c>
      <c r="GO1" t="e">
        <f>AND(List1!D9,"AAAAAGr7+cQ=")</f>
        <v>#VALUE!</v>
      </c>
      <c r="GP1" t="e">
        <f>AND(List1!E9,"AAAAAGr7+cU=")</f>
        <v>#VALUE!</v>
      </c>
      <c r="GQ1" t="e">
        <f>AND(List1!F9,"AAAAAGr7+cY=")</f>
        <v>#VALUE!</v>
      </c>
      <c r="GR1" t="e">
        <f>AND(List1!G9,"AAAAAGr7+cc=")</f>
        <v>#VALUE!</v>
      </c>
      <c r="GS1" t="e">
        <f>AND(List1!H9,"AAAAAGr7+cg=")</f>
        <v>#VALUE!</v>
      </c>
      <c r="GT1" t="e">
        <f>AND(List1!I9,"AAAAAGr7+ck=")</f>
        <v>#VALUE!</v>
      </c>
      <c r="GU1" t="e">
        <f>AND(List1!J9,"AAAAAGr7+co=")</f>
        <v>#VALUE!</v>
      </c>
      <c r="GV1" t="e">
        <f>AND(List1!K9,"AAAAAGr7+cs=")</f>
        <v>#VALUE!</v>
      </c>
      <c r="GW1" t="e">
        <f>AND(List1!L9,"AAAAAGr7+cw=")</f>
        <v>#VALUE!</v>
      </c>
      <c r="GX1" t="e">
        <f>AND(List1!M9,"AAAAAGr7+c0=")</f>
        <v>#VALUE!</v>
      </c>
      <c r="GY1" t="e">
        <f>AND(List1!N9,"AAAAAGr7+c4=")</f>
        <v>#VALUE!</v>
      </c>
      <c r="GZ1" t="e">
        <f>AND(List1!O9,"AAAAAGr7+c8=")</f>
        <v>#VALUE!</v>
      </c>
      <c r="HA1" t="e">
        <f>AND(List1!P9,"AAAAAGr7+dA=")</f>
        <v>#VALUE!</v>
      </c>
      <c r="HB1" t="e">
        <f>AND(List1!Q9,"AAAAAGr7+dE=")</f>
        <v>#VALUE!</v>
      </c>
      <c r="HC1" t="e">
        <f>AND(List1!R9,"AAAAAGr7+dI=")</f>
        <v>#VALUE!</v>
      </c>
      <c r="HD1" t="e">
        <f>AND(List1!S9,"AAAAAGr7+dM=")</f>
        <v>#VALUE!</v>
      </c>
      <c r="HE1" t="e">
        <f>AND(List1!T9,"AAAAAGr7+dQ=")</f>
        <v>#VALUE!</v>
      </c>
      <c r="HF1" t="e">
        <f>AND(List1!U9,"AAAAAGr7+dU=")</f>
        <v>#VALUE!</v>
      </c>
      <c r="HG1" t="e">
        <f>AND(List1!V9,"AAAAAGr7+dY=")</f>
        <v>#VALUE!</v>
      </c>
      <c r="HH1" t="e">
        <f>AND(List1!W9,"AAAAAGr7+dc=")</f>
        <v>#VALUE!</v>
      </c>
      <c r="HI1" t="e">
        <f>AND(List1!X9,"AAAAAGr7+dg=")</f>
        <v>#VALUE!</v>
      </c>
      <c r="HJ1" t="e">
        <f>AND(List1!Y9,"AAAAAGr7+dk=")</f>
        <v>#VALUE!</v>
      </c>
      <c r="HK1" t="e">
        <f>AND(List1!Z9,"AAAAAGr7+do=")</f>
        <v>#VALUE!</v>
      </c>
      <c r="HL1" t="e">
        <f>AND(List1!AA9,"AAAAAGr7+ds=")</f>
        <v>#VALUE!</v>
      </c>
      <c r="HM1" t="e">
        <f>AND(List1!AB9,"AAAAAGr7+dw=")</f>
        <v>#VALUE!</v>
      </c>
      <c r="HN1" t="e">
        <f>AND(List1!AC9,"AAAAAGr7+d0=")</f>
        <v>#VALUE!</v>
      </c>
      <c r="HO1" t="e">
        <f>AND(List1!AD9,"AAAAAGr7+d4=")</f>
        <v>#VALUE!</v>
      </c>
      <c r="HP1" t="e">
        <f>AND(List1!AE9,"AAAAAGr7+d8=")</f>
        <v>#VALUE!</v>
      </c>
      <c r="HQ1">
        <f>IF(List1!10:10,"AAAAAGr7+eA=",0)</f>
        <v>0</v>
      </c>
      <c r="HR1" t="e">
        <f>AND(List1!A10,"AAAAAGr7+eE=")</f>
        <v>#VALUE!</v>
      </c>
      <c r="HS1" t="e">
        <f>AND(List1!B10,"AAAAAGr7+eI=")</f>
        <v>#VALUE!</v>
      </c>
      <c r="HT1" t="e">
        <f>AND(List1!C10,"AAAAAGr7+eM=")</f>
        <v>#VALUE!</v>
      </c>
      <c r="HU1" t="e">
        <f>AND(List1!D10,"AAAAAGr7+eQ=")</f>
        <v>#VALUE!</v>
      </c>
      <c r="HV1" t="e">
        <f>AND(List1!E10,"AAAAAGr7+eU=")</f>
        <v>#VALUE!</v>
      </c>
      <c r="HW1" t="e">
        <f>AND(List1!F10,"AAAAAGr7+eY=")</f>
        <v>#VALUE!</v>
      </c>
      <c r="HX1" t="e">
        <f>AND(List1!G10,"AAAAAGr7+ec=")</f>
        <v>#VALUE!</v>
      </c>
      <c r="HY1" t="e">
        <f>AND(List1!H10,"AAAAAGr7+eg=")</f>
        <v>#VALUE!</v>
      </c>
      <c r="HZ1" t="e">
        <f>AND(List1!I10,"AAAAAGr7+ek=")</f>
        <v>#VALUE!</v>
      </c>
      <c r="IA1" t="e">
        <f>AND(List1!J10,"AAAAAGr7+eo=")</f>
        <v>#VALUE!</v>
      </c>
      <c r="IB1" t="e">
        <f>AND(List1!K10,"AAAAAGr7+es=")</f>
        <v>#VALUE!</v>
      </c>
      <c r="IC1" t="e">
        <f>AND(List1!L10,"AAAAAGr7+ew=")</f>
        <v>#VALUE!</v>
      </c>
      <c r="ID1" t="e">
        <f>AND(List1!M10,"AAAAAGr7+e0=")</f>
        <v>#VALUE!</v>
      </c>
      <c r="IE1" t="e">
        <f>AND(List1!N10,"AAAAAGr7+e4=")</f>
        <v>#VALUE!</v>
      </c>
      <c r="IF1" t="e">
        <f>AND(List1!O10,"AAAAAGr7+e8=")</f>
        <v>#VALUE!</v>
      </c>
      <c r="IG1" t="e">
        <f>AND(List1!P10,"AAAAAGr7+fA=")</f>
        <v>#VALUE!</v>
      </c>
      <c r="IH1" t="e">
        <f>AND(List1!Q10,"AAAAAGr7+fE=")</f>
        <v>#VALUE!</v>
      </c>
      <c r="II1" t="e">
        <f>AND(List1!R10,"AAAAAGr7+fI=")</f>
        <v>#VALUE!</v>
      </c>
      <c r="IJ1" t="e">
        <f>AND(List1!S10,"AAAAAGr7+fM=")</f>
        <v>#VALUE!</v>
      </c>
      <c r="IK1" t="e">
        <f>AND(List1!T10,"AAAAAGr7+fQ=")</f>
        <v>#VALUE!</v>
      </c>
      <c r="IL1" t="e">
        <f>AND(List1!U10,"AAAAAGr7+fU=")</f>
        <v>#VALUE!</v>
      </c>
      <c r="IM1" t="e">
        <f>AND(List1!V10,"AAAAAGr7+fY=")</f>
        <v>#VALUE!</v>
      </c>
      <c r="IN1" t="e">
        <f>AND(List1!W10,"AAAAAGr7+fc=")</f>
        <v>#VALUE!</v>
      </c>
      <c r="IO1" t="e">
        <f>AND(List1!X10,"AAAAAGr7+fg=")</f>
        <v>#VALUE!</v>
      </c>
      <c r="IP1" t="e">
        <f>AND(List1!Y10,"AAAAAGr7+fk=")</f>
        <v>#VALUE!</v>
      </c>
      <c r="IQ1" t="e">
        <f>AND(List1!Z10,"AAAAAGr7+fo=")</f>
        <v>#VALUE!</v>
      </c>
      <c r="IR1" t="e">
        <f>AND(List1!AA10,"AAAAAGr7+fs=")</f>
        <v>#VALUE!</v>
      </c>
      <c r="IS1" t="e">
        <f>AND(List1!AB10,"AAAAAGr7+fw=")</f>
        <v>#VALUE!</v>
      </c>
      <c r="IT1" t="e">
        <f>AND(List1!AC10,"AAAAAGr7+f0=")</f>
        <v>#VALUE!</v>
      </c>
      <c r="IU1" t="e">
        <f>AND(List1!AD10,"AAAAAGr7+f4=")</f>
        <v>#VALUE!</v>
      </c>
      <c r="IV1" t="e">
        <f>AND(List1!AE10,"AAAAAGr7+f8=")</f>
        <v>#VALUE!</v>
      </c>
    </row>
    <row r="2" spans="1:256" x14ac:dyDescent="0.25">
      <c r="A2">
        <f>IF(List1!11:11,"AAAAAFzu+wA=",0)</f>
        <v>0</v>
      </c>
      <c r="B2" t="e">
        <f>AND(List1!A11,"AAAAAFzu+wE=")</f>
        <v>#VALUE!</v>
      </c>
      <c r="C2" t="e">
        <f>AND(List1!B11,"AAAAAFzu+wI=")</f>
        <v>#VALUE!</v>
      </c>
      <c r="D2" t="e">
        <f>AND(List1!C11,"AAAAAFzu+wM=")</f>
        <v>#VALUE!</v>
      </c>
      <c r="E2" t="e">
        <f>AND(List1!D11,"AAAAAFzu+wQ=")</f>
        <v>#VALUE!</v>
      </c>
      <c r="F2" t="e">
        <f>AND(List1!E11,"AAAAAFzu+wU=")</f>
        <v>#VALUE!</v>
      </c>
      <c r="G2" t="e">
        <f>AND(List1!F11,"AAAAAFzu+wY=")</f>
        <v>#VALUE!</v>
      </c>
      <c r="H2" t="e">
        <f>AND(List1!G11,"AAAAAFzu+wc=")</f>
        <v>#VALUE!</v>
      </c>
      <c r="I2" t="e">
        <f>AND(List1!H11,"AAAAAFzu+wg=")</f>
        <v>#VALUE!</v>
      </c>
      <c r="J2" t="e">
        <f>AND(List1!I11,"AAAAAFzu+wk=")</f>
        <v>#VALUE!</v>
      </c>
      <c r="K2" t="e">
        <f>AND(List1!J11,"AAAAAFzu+wo=")</f>
        <v>#VALUE!</v>
      </c>
      <c r="L2" t="e">
        <f>AND(List1!K11,"AAAAAFzu+ws=")</f>
        <v>#VALUE!</v>
      </c>
      <c r="M2" t="e">
        <f>AND(List1!L11,"AAAAAFzu+ww=")</f>
        <v>#VALUE!</v>
      </c>
      <c r="N2" t="e">
        <f>AND(List1!M11,"AAAAAFzu+w0=")</f>
        <v>#VALUE!</v>
      </c>
      <c r="O2" t="e">
        <f>AND(List1!N11,"AAAAAFzu+w4=")</f>
        <v>#VALUE!</v>
      </c>
      <c r="P2" t="e">
        <f>AND(List1!O11,"AAAAAFzu+w8=")</f>
        <v>#VALUE!</v>
      </c>
      <c r="Q2" t="e">
        <f>AND(List1!P11,"AAAAAFzu+xA=")</f>
        <v>#VALUE!</v>
      </c>
      <c r="R2" t="e">
        <f>AND(List1!Q11,"AAAAAFzu+xE=")</f>
        <v>#VALUE!</v>
      </c>
      <c r="S2" t="e">
        <f>AND(List1!R11,"AAAAAFzu+xI=")</f>
        <v>#VALUE!</v>
      </c>
      <c r="T2" t="e">
        <f>AND(List1!S11,"AAAAAFzu+xM=")</f>
        <v>#VALUE!</v>
      </c>
      <c r="U2" t="e">
        <f>AND(List1!T11,"AAAAAFzu+xQ=")</f>
        <v>#VALUE!</v>
      </c>
      <c r="V2" t="e">
        <f>AND(List1!U11,"AAAAAFzu+xU=")</f>
        <v>#VALUE!</v>
      </c>
      <c r="W2" t="e">
        <f>AND(List1!V11,"AAAAAFzu+xY=")</f>
        <v>#VALUE!</v>
      </c>
      <c r="X2" t="e">
        <f>AND(List1!W11,"AAAAAFzu+xc=")</f>
        <v>#VALUE!</v>
      </c>
      <c r="Y2" t="e">
        <f>AND(List1!X11,"AAAAAFzu+xg=")</f>
        <v>#VALUE!</v>
      </c>
      <c r="Z2" t="e">
        <f>AND(List1!Y11,"AAAAAFzu+xk=")</f>
        <v>#VALUE!</v>
      </c>
      <c r="AA2" t="e">
        <f>AND(List1!Z11,"AAAAAFzu+xo=")</f>
        <v>#VALUE!</v>
      </c>
      <c r="AB2" t="e">
        <f>AND(List1!AA11,"AAAAAFzu+xs=")</f>
        <v>#VALUE!</v>
      </c>
      <c r="AC2" t="e">
        <f>AND(List1!AB11,"AAAAAFzu+xw=")</f>
        <v>#VALUE!</v>
      </c>
      <c r="AD2" t="e">
        <f>AND(List1!AC11,"AAAAAFzu+x0=")</f>
        <v>#VALUE!</v>
      </c>
      <c r="AE2" t="e">
        <f>AND(List1!AD11,"AAAAAFzu+x4=")</f>
        <v>#VALUE!</v>
      </c>
      <c r="AF2" t="e">
        <f>AND(List1!AE11,"AAAAAFzu+x8=")</f>
        <v>#VALUE!</v>
      </c>
      <c r="AG2">
        <f>IF(List1!12:12,"AAAAAFzu+yA=",0)</f>
        <v>0</v>
      </c>
      <c r="AH2" t="e">
        <f>AND(List1!A12,"AAAAAFzu+yE=")</f>
        <v>#VALUE!</v>
      </c>
      <c r="AI2" t="e">
        <f>AND(List1!B12,"AAAAAFzu+yI=")</f>
        <v>#VALUE!</v>
      </c>
      <c r="AJ2" t="e">
        <f>AND(List1!C12,"AAAAAFzu+yM=")</f>
        <v>#VALUE!</v>
      </c>
      <c r="AK2" t="e">
        <f>AND(List1!D12,"AAAAAFzu+yQ=")</f>
        <v>#VALUE!</v>
      </c>
      <c r="AL2" t="e">
        <f>AND(List1!E12,"AAAAAFzu+yU=")</f>
        <v>#VALUE!</v>
      </c>
      <c r="AM2" t="e">
        <f>AND(List1!F12,"AAAAAFzu+yY=")</f>
        <v>#VALUE!</v>
      </c>
      <c r="AN2" t="e">
        <f>AND(List1!G12,"AAAAAFzu+yc=")</f>
        <v>#VALUE!</v>
      </c>
      <c r="AO2" t="e">
        <f>AND(List1!H12,"AAAAAFzu+yg=")</f>
        <v>#VALUE!</v>
      </c>
      <c r="AP2" t="e">
        <f>AND(List1!I12,"AAAAAFzu+yk=")</f>
        <v>#VALUE!</v>
      </c>
      <c r="AQ2" t="e">
        <f>AND(List1!J12,"AAAAAFzu+yo=")</f>
        <v>#VALUE!</v>
      </c>
      <c r="AR2" t="e">
        <f>AND(List1!K12,"AAAAAFzu+ys=")</f>
        <v>#VALUE!</v>
      </c>
      <c r="AS2" t="e">
        <f>AND(List1!L12,"AAAAAFzu+yw=")</f>
        <v>#VALUE!</v>
      </c>
      <c r="AT2" t="e">
        <f>AND(List1!M12,"AAAAAFzu+y0=")</f>
        <v>#VALUE!</v>
      </c>
      <c r="AU2" t="e">
        <f>AND(List1!N12,"AAAAAFzu+y4=")</f>
        <v>#VALUE!</v>
      </c>
      <c r="AV2" t="e">
        <f>AND(List1!O12,"AAAAAFzu+y8=")</f>
        <v>#VALUE!</v>
      </c>
      <c r="AW2" t="e">
        <f>AND(List1!P12,"AAAAAFzu+zA=")</f>
        <v>#VALUE!</v>
      </c>
      <c r="AX2" t="e">
        <f>AND(List1!Q12,"AAAAAFzu+zE=")</f>
        <v>#VALUE!</v>
      </c>
      <c r="AY2" t="e">
        <f>AND(List1!R12,"AAAAAFzu+zI=")</f>
        <v>#VALUE!</v>
      </c>
      <c r="AZ2" t="e">
        <f>AND(List1!S12,"AAAAAFzu+zM=")</f>
        <v>#VALUE!</v>
      </c>
      <c r="BA2" t="e">
        <f>AND(List1!T12,"AAAAAFzu+zQ=")</f>
        <v>#VALUE!</v>
      </c>
      <c r="BB2" t="e">
        <f>AND(List1!U12,"AAAAAFzu+zU=")</f>
        <v>#VALUE!</v>
      </c>
      <c r="BC2" t="e">
        <f>AND(List1!V12,"AAAAAFzu+zY=")</f>
        <v>#VALUE!</v>
      </c>
      <c r="BD2" t="e">
        <f>AND(List1!W12,"AAAAAFzu+zc=")</f>
        <v>#VALUE!</v>
      </c>
      <c r="BE2" t="e">
        <f>AND(List1!X12,"AAAAAFzu+zg=")</f>
        <v>#VALUE!</v>
      </c>
      <c r="BF2" t="e">
        <f>AND(List1!Y12,"AAAAAFzu+zk=")</f>
        <v>#VALUE!</v>
      </c>
      <c r="BG2" t="e">
        <f>AND(List1!Z12,"AAAAAFzu+zo=")</f>
        <v>#VALUE!</v>
      </c>
      <c r="BH2" t="e">
        <f>AND(List1!AA12,"AAAAAFzu+zs=")</f>
        <v>#VALUE!</v>
      </c>
      <c r="BI2" t="e">
        <f>AND(List1!AB12,"AAAAAFzu+zw=")</f>
        <v>#VALUE!</v>
      </c>
      <c r="BJ2" t="e">
        <f>AND(List1!AC12,"AAAAAFzu+z0=")</f>
        <v>#VALUE!</v>
      </c>
      <c r="BK2" t="e">
        <f>AND(List1!AD12,"AAAAAFzu+z4=")</f>
        <v>#VALUE!</v>
      </c>
      <c r="BL2" t="e">
        <f>AND(List1!AE12,"AAAAAFzu+z8=")</f>
        <v>#VALUE!</v>
      </c>
      <c r="BM2">
        <f>IF(List1!13:13,"AAAAAFzu+0A=",0)</f>
        <v>0</v>
      </c>
      <c r="BN2" t="e">
        <f>AND(List1!A13,"AAAAAFzu+0E=")</f>
        <v>#VALUE!</v>
      </c>
      <c r="BO2" t="e">
        <f>AND(List1!B13,"AAAAAFzu+0I=")</f>
        <v>#VALUE!</v>
      </c>
      <c r="BP2" t="e">
        <f>AND(List1!C13,"AAAAAFzu+0M=")</f>
        <v>#VALUE!</v>
      </c>
      <c r="BQ2" t="e">
        <f>AND(List1!D13,"AAAAAFzu+0Q=")</f>
        <v>#VALUE!</v>
      </c>
      <c r="BR2" t="e">
        <f>AND(List1!E13,"AAAAAFzu+0U=")</f>
        <v>#VALUE!</v>
      </c>
      <c r="BS2" t="e">
        <f>AND(List1!F13,"AAAAAFzu+0Y=")</f>
        <v>#VALUE!</v>
      </c>
      <c r="BT2" t="e">
        <f>AND(List1!G13,"AAAAAFzu+0c=")</f>
        <v>#VALUE!</v>
      </c>
      <c r="BU2" t="e">
        <f>AND(List1!H13,"AAAAAFzu+0g=")</f>
        <v>#VALUE!</v>
      </c>
      <c r="BV2" t="e">
        <f>AND(List1!I13,"AAAAAFzu+0k=")</f>
        <v>#VALUE!</v>
      </c>
      <c r="BW2" t="e">
        <f>AND(List1!J13,"AAAAAFzu+0o=")</f>
        <v>#VALUE!</v>
      </c>
      <c r="BX2" t="e">
        <f>AND(List1!K13,"AAAAAFzu+0s=")</f>
        <v>#VALUE!</v>
      </c>
      <c r="BY2" t="e">
        <f>AND(List1!L13,"AAAAAFzu+0w=")</f>
        <v>#VALUE!</v>
      </c>
      <c r="BZ2" t="e">
        <f>AND(List1!M13,"AAAAAFzu+00=")</f>
        <v>#VALUE!</v>
      </c>
      <c r="CA2" t="e">
        <f>AND(List1!N13,"AAAAAFzu+04=")</f>
        <v>#VALUE!</v>
      </c>
      <c r="CB2" t="e">
        <f>AND(List1!O13,"AAAAAFzu+08=")</f>
        <v>#VALUE!</v>
      </c>
      <c r="CC2" t="e">
        <f>AND(List1!P13,"AAAAAFzu+1A=")</f>
        <v>#VALUE!</v>
      </c>
      <c r="CD2" t="e">
        <f>AND(List1!Q13,"AAAAAFzu+1E=")</f>
        <v>#VALUE!</v>
      </c>
      <c r="CE2" t="e">
        <f>AND(List1!R13,"AAAAAFzu+1I=")</f>
        <v>#VALUE!</v>
      </c>
      <c r="CF2" t="e">
        <f>AND(List1!S13,"AAAAAFzu+1M=")</f>
        <v>#VALUE!</v>
      </c>
      <c r="CG2" t="e">
        <f>AND(List1!T13,"AAAAAFzu+1Q=")</f>
        <v>#VALUE!</v>
      </c>
      <c r="CH2" t="e">
        <f>AND(List1!U13,"AAAAAFzu+1U=")</f>
        <v>#VALUE!</v>
      </c>
      <c r="CI2" t="e">
        <f>AND(List1!V13,"AAAAAFzu+1Y=")</f>
        <v>#VALUE!</v>
      </c>
      <c r="CJ2" t="e">
        <f>AND(List1!W13,"AAAAAFzu+1c=")</f>
        <v>#VALUE!</v>
      </c>
      <c r="CK2" t="e">
        <f>AND(List1!X13,"AAAAAFzu+1g=")</f>
        <v>#VALUE!</v>
      </c>
      <c r="CL2" t="e">
        <f>AND(List1!Y13,"AAAAAFzu+1k=")</f>
        <v>#VALUE!</v>
      </c>
      <c r="CM2" t="e">
        <f>AND(List1!Z13,"AAAAAFzu+1o=")</f>
        <v>#VALUE!</v>
      </c>
      <c r="CN2" t="e">
        <f>AND(List1!AA13,"AAAAAFzu+1s=")</f>
        <v>#VALUE!</v>
      </c>
      <c r="CO2" t="e">
        <f>AND(List1!AB13,"AAAAAFzu+1w=")</f>
        <v>#VALUE!</v>
      </c>
      <c r="CP2" t="e">
        <f>AND(List1!AC13,"AAAAAFzu+10=")</f>
        <v>#VALUE!</v>
      </c>
      <c r="CQ2" t="e">
        <f>AND(List1!AD13,"AAAAAFzu+14=")</f>
        <v>#VALUE!</v>
      </c>
      <c r="CR2" t="e">
        <f>AND(List1!AE13,"AAAAAFzu+18=")</f>
        <v>#VALUE!</v>
      </c>
      <c r="CS2">
        <f>IF(List1!14:14,"AAAAAFzu+2A=",0)</f>
        <v>0</v>
      </c>
      <c r="CT2" t="e">
        <f>AND(List1!A14,"AAAAAFzu+2E=")</f>
        <v>#VALUE!</v>
      </c>
      <c r="CU2" t="e">
        <f>AND(List1!B14,"AAAAAFzu+2I=")</f>
        <v>#VALUE!</v>
      </c>
      <c r="CV2" t="e">
        <f>AND(List1!C14,"AAAAAFzu+2M=")</f>
        <v>#VALUE!</v>
      </c>
      <c r="CW2" t="e">
        <f>AND(List1!D14,"AAAAAFzu+2Q=")</f>
        <v>#VALUE!</v>
      </c>
      <c r="CX2" t="e">
        <f>AND(List1!E14,"AAAAAFzu+2U=")</f>
        <v>#VALUE!</v>
      </c>
      <c r="CY2" t="e">
        <f>AND(List1!F14,"AAAAAFzu+2Y=")</f>
        <v>#VALUE!</v>
      </c>
      <c r="CZ2" t="e">
        <f>AND(List1!G14,"AAAAAFzu+2c=")</f>
        <v>#VALUE!</v>
      </c>
      <c r="DA2" t="e">
        <f>AND(List1!H14,"AAAAAFzu+2g=")</f>
        <v>#VALUE!</v>
      </c>
      <c r="DB2" t="e">
        <f>AND(List1!I14,"AAAAAFzu+2k=")</f>
        <v>#VALUE!</v>
      </c>
      <c r="DC2" t="e">
        <f>AND(List1!J14,"AAAAAFzu+2o=")</f>
        <v>#VALUE!</v>
      </c>
      <c r="DD2" t="e">
        <f>AND(List1!K14,"AAAAAFzu+2s=")</f>
        <v>#VALUE!</v>
      </c>
      <c r="DE2" t="e">
        <f>AND(List1!L14,"AAAAAFzu+2w=")</f>
        <v>#VALUE!</v>
      </c>
      <c r="DF2" t="e">
        <f>AND(List1!M14,"AAAAAFzu+20=")</f>
        <v>#VALUE!</v>
      </c>
      <c r="DG2" t="e">
        <f>AND(List1!N14,"AAAAAFzu+24=")</f>
        <v>#VALUE!</v>
      </c>
      <c r="DH2" t="e">
        <f>AND(List1!O14,"AAAAAFzu+28=")</f>
        <v>#VALUE!</v>
      </c>
      <c r="DI2" t="e">
        <f>AND(List1!P14,"AAAAAFzu+3A=")</f>
        <v>#VALUE!</v>
      </c>
      <c r="DJ2" t="e">
        <f>AND(List1!Q14,"AAAAAFzu+3E=")</f>
        <v>#VALUE!</v>
      </c>
      <c r="DK2" t="e">
        <f>AND(List1!R14,"AAAAAFzu+3I=")</f>
        <v>#VALUE!</v>
      </c>
      <c r="DL2" t="e">
        <f>AND(List1!S14,"AAAAAFzu+3M=")</f>
        <v>#VALUE!</v>
      </c>
      <c r="DM2" t="e">
        <f>AND(List1!T14,"AAAAAFzu+3Q=")</f>
        <v>#VALUE!</v>
      </c>
      <c r="DN2" t="e">
        <f>AND(List1!U14,"AAAAAFzu+3U=")</f>
        <v>#VALUE!</v>
      </c>
      <c r="DO2" t="e">
        <f>AND(List1!V14,"AAAAAFzu+3Y=")</f>
        <v>#VALUE!</v>
      </c>
      <c r="DP2" t="e">
        <f>AND(List1!W14,"AAAAAFzu+3c=")</f>
        <v>#VALUE!</v>
      </c>
      <c r="DQ2" t="e">
        <f>AND(List1!X14,"AAAAAFzu+3g=")</f>
        <v>#VALUE!</v>
      </c>
      <c r="DR2" t="e">
        <f>AND(List1!Y14,"AAAAAFzu+3k=")</f>
        <v>#VALUE!</v>
      </c>
      <c r="DS2" t="e">
        <f>AND(List1!Z14,"AAAAAFzu+3o=")</f>
        <v>#VALUE!</v>
      </c>
      <c r="DT2" t="e">
        <f>AND(List1!AA14,"AAAAAFzu+3s=")</f>
        <v>#VALUE!</v>
      </c>
      <c r="DU2" t="e">
        <f>AND(List1!AB14,"AAAAAFzu+3w=")</f>
        <v>#VALUE!</v>
      </c>
      <c r="DV2" t="e">
        <f>AND(List1!AC14,"AAAAAFzu+30=")</f>
        <v>#VALUE!</v>
      </c>
      <c r="DW2" t="e">
        <f>AND(List1!AD14,"AAAAAFzu+34=")</f>
        <v>#VALUE!</v>
      </c>
      <c r="DX2" t="e">
        <f>AND(List1!AE14,"AAAAAFzu+38=")</f>
        <v>#VALUE!</v>
      </c>
      <c r="DY2">
        <f>IF(List1!15:15,"AAAAAFzu+4A=",0)</f>
        <v>0</v>
      </c>
      <c r="DZ2" t="e">
        <f>AND(List1!A15,"AAAAAFzu+4E=")</f>
        <v>#VALUE!</v>
      </c>
      <c r="EA2" t="e">
        <f>AND(List1!B15,"AAAAAFzu+4I=")</f>
        <v>#VALUE!</v>
      </c>
      <c r="EB2" t="e">
        <f>AND(List1!C15,"AAAAAFzu+4M=")</f>
        <v>#VALUE!</v>
      </c>
      <c r="EC2" t="e">
        <f>AND(List1!D15,"AAAAAFzu+4Q=")</f>
        <v>#VALUE!</v>
      </c>
      <c r="ED2" t="e">
        <f>AND(List1!E15,"AAAAAFzu+4U=")</f>
        <v>#VALUE!</v>
      </c>
      <c r="EE2" t="e">
        <f>AND(List1!F15,"AAAAAFzu+4Y=")</f>
        <v>#VALUE!</v>
      </c>
      <c r="EF2" t="e">
        <f>AND(List1!G15,"AAAAAFzu+4c=")</f>
        <v>#VALUE!</v>
      </c>
      <c r="EG2" t="e">
        <f>AND(List1!H15,"AAAAAFzu+4g=")</f>
        <v>#VALUE!</v>
      </c>
      <c r="EH2" t="e">
        <f>AND(List1!I15,"AAAAAFzu+4k=")</f>
        <v>#VALUE!</v>
      </c>
      <c r="EI2" t="e">
        <f>AND(List1!J15,"AAAAAFzu+4o=")</f>
        <v>#VALUE!</v>
      </c>
      <c r="EJ2" t="e">
        <f>AND(List1!K15,"AAAAAFzu+4s=")</f>
        <v>#VALUE!</v>
      </c>
      <c r="EK2" t="e">
        <f>AND(List1!L15,"AAAAAFzu+4w=")</f>
        <v>#VALUE!</v>
      </c>
      <c r="EL2" t="e">
        <f>AND(List1!M15,"AAAAAFzu+40=")</f>
        <v>#VALUE!</v>
      </c>
      <c r="EM2" t="e">
        <f>AND(List1!N15,"AAAAAFzu+44=")</f>
        <v>#VALUE!</v>
      </c>
      <c r="EN2" t="e">
        <f>AND(List1!O15,"AAAAAFzu+48=")</f>
        <v>#VALUE!</v>
      </c>
      <c r="EO2" t="e">
        <f>AND(List1!P15,"AAAAAFzu+5A=")</f>
        <v>#VALUE!</v>
      </c>
      <c r="EP2" t="e">
        <f>AND(List1!Q15,"AAAAAFzu+5E=")</f>
        <v>#VALUE!</v>
      </c>
      <c r="EQ2" t="e">
        <f>AND(List1!R15,"AAAAAFzu+5I=")</f>
        <v>#VALUE!</v>
      </c>
      <c r="ER2" t="e">
        <f>AND(List1!S15,"AAAAAFzu+5M=")</f>
        <v>#VALUE!</v>
      </c>
      <c r="ES2" t="e">
        <f>AND(List1!T15,"AAAAAFzu+5Q=")</f>
        <v>#VALUE!</v>
      </c>
      <c r="ET2" t="e">
        <f>AND(List1!U15,"AAAAAFzu+5U=")</f>
        <v>#VALUE!</v>
      </c>
      <c r="EU2" t="e">
        <f>AND(List1!V15,"AAAAAFzu+5Y=")</f>
        <v>#VALUE!</v>
      </c>
      <c r="EV2" t="e">
        <f>AND(List1!W15,"AAAAAFzu+5c=")</f>
        <v>#VALUE!</v>
      </c>
      <c r="EW2" t="e">
        <f>AND(List1!X15,"AAAAAFzu+5g=")</f>
        <v>#VALUE!</v>
      </c>
      <c r="EX2" t="e">
        <f>AND(List1!Y15,"AAAAAFzu+5k=")</f>
        <v>#VALUE!</v>
      </c>
      <c r="EY2" t="e">
        <f>AND(List1!Z15,"AAAAAFzu+5o=")</f>
        <v>#VALUE!</v>
      </c>
      <c r="EZ2" t="e">
        <f>AND(List1!AA15,"AAAAAFzu+5s=")</f>
        <v>#VALUE!</v>
      </c>
      <c r="FA2" t="e">
        <f>AND(List1!AB15,"AAAAAFzu+5w=")</f>
        <v>#VALUE!</v>
      </c>
      <c r="FB2" t="e">
        <f>AND(List1!AC15,"AAAAAFzu+50=")</f>
        <v>#VALUE!</v>
      </c>
      <c r="FC2" t="e">
        <f>AND(List1!AD15,"AAAAAFzu+54=")</f>
        <v>#VALUE!</v>
      </c>
      <c r="FD2" t="e">
        <f>AND(List1!AE15,"AAAAAFzu+58=")</f>
        <v>#VALUE!</v>
      </c>
      <c r="FE2">
        <f>IF(List1!16:16,"AAAAAFzu+6A=",0)</f>
        <v>0</v>
      </c>
      <c r="FF2" t="e">
        <f>AND(List1!A16,"AAAAAFzu+6E=")</f>
        <v>#VALUE!</v>
      </c>
      <c r="FG2" t="e">
        <f>AND(List1!B16,"AAAAAFzu+6I=")</f>
        <v>#VALUE!</v>
      </c>
      <c r="FH2" t="e">
        <f>AND(List1!C16,"AAAAAFzu+6M=")</f>
        <v>#VALUE!</v>
      </c>
      <c r="FI2" t="e">
        <f>AND(List1!D16,"AAAAAFzu+6Q=")</f>
        <v>#VALUE!</v>
      </c>
      <c r="FJ2" t="e">
        <f>AND(List1!E16,"AAAAAFzu+6U=")</f>
        <v>#VALUE!</v>
      </c>
      <c r="FK2" t="e">
        <f>AND(List1!F16,"AAAAAFzu+6Y=")</f>
        <v>#VALUE!</v>
      </c>
      <c r="FL2" t="e">
        <f>AND(List1!G16,"AAAAAFzu+6c=")</f>
        <v>#VALUE!</v>
      </c>
      <c r="FM2" t="e">
        <f>AND(List1!H16,"AAAAAFzu+6g=")</f>
        <v>#VALUE!</v>
      </c>
      <c r="FN2" t="e">
        <f>AND(List1!I16,"AAAAAFzu+6k=")</f>
        <v>#VALUE!</v>
      </c>
      <c r="FO2" t="e">
        <f>AND(List1!J16,"AAAAAFzu+6o=")</f>
        <v>#VALUE!</v>
      </c>
      <c r="FP2" t="e">
        <f>AND(List1!K16,"AAAAAFzu+6s=")</f>
        <v>#VALUE!</v>
      </c>
      <c r="FQ2" t="e">
        <f>AND(List1!L16,"AAAAAFzu+6w=")</f>
        <v>#VALUE!</v>
      </c>
      <c r="FR2" t="e">
        <f>AND(List1!M16,"AAAAAFzu+60=")</f>
        <v>#VALUE!</v>
      </c>
      <c r="FS2" t="e">
        <f>AND(List1!N16,"AAAAAFzu+64=")</f>
        <v>#VALUE!</v>
      </c>
      <c r="FT2" t="e">
        <f>AND(List1!O16,"AAAAAFzu+68=")</f>
        <v>#VALUE!</v>
      </c>
      <c r="FU2" t="e">
        <f>AND(List1!P16,"AAAAAFzu+7A=")</f>
        <v>#VALUE!</v>
      </c>
      <c r="FV2" t="e">
        <f>AND(List1!Q16,"AAAAAFzu+7E=")</f>
        <v>#VALUE!</v>
      </c>
      <c r="FW2" t="e">
        <f>AND(List1!R16,"AAAAAFzu+7I=")</f>
        <v>#VALUE!</v>
      </c>
      <c r="FX2" t="e">
        <f>AND(List1!S16,"AAAAAFzu+7M=")</f>
        <v>#VALUE!</v>
      </c>
      <c r="FY2" t="e">
        <f>AND(List1!T16,"AAAAAFzu+7Q=")</f>
        <v>#VALUE!</v>
      </c>
      <c r="FZ2" t="e">
        <f>AND(List1!U16,"AAAAAFzu+7U=")</f>
        <v>#VALUE!</v>
      </c>
      <c r="GA2" t="e">
        <f>AND(List1!V16,"AAAAAFzu+7Y=")</f>
        <v>#VALUE!</v>
      </c>
      <c r="GB2" t="e">
        <f>AND(List1!W16,"AAAAAFzu+7c=")</f>
        <v>#VALUE!</v>
      </c>
      <c r="GC2" t="e">
        <f>AND(List1!X16,"AAAAAFzu+7g=")</f>
        <v>#VALUE!</v>
      </c>
      <c r="GD2" t="e">
        <f>AND(List1!Y16,"AAAAAFzu+7k=")</f>
        <v>#VALUE!</v>
      </c>
      <c r="GE2" t="e">
        <f>AND(List1!Z16,"AAAAAFzu+7o=")</f>
        <v>#VALUE!</v>
      </c>
      <c r="GF2" t="e">
        <f>AND(List1!AA16,"AAAAAFzu+7s=")</f>
        <v>#VALUE!</v>
      </c>
      <c r="GG2" t="e">
        <f>AND(List1!AB16,"AAAAAFzu+7w=")</f>
        <v>#VALUE!</v>
      </c>
      <c r="GH2" t="e">
        <f>AND(List1!AC16,"AAAAAFzu+70=")</f>
        <v>#VALUE!</v>
      </c>
      <c r="GI2" t="e">
        <f>AND(List1!AD16,"AAAAAFzu+74=")</f>
        <v>#VALUE!</v>
      </c>
      <c r="GJ2" t="e">
        <f>AND(List1!AE16,"AAAAAFzu+78=")</f>
        <v>#VALUE!</v>
      </c>
      <c r="GK2">
        <f>IF(List1!17:17,"AAAAAFzu+8A=",0)</f>
        <v>0</v>
      </c>
      <c r="GL2" t="e">
        <f>AND(List1!A17,"AAAAAFzu+8E=")</f>
        <v>#VALUE!</v>
      </c>
      <c r="GM2" t="e">
        <f>AND(List1!B17,"AAAAAFzu+8I=")</f>
        <v>#VALUE!</v>
      </c>
      <c r="GN2" t="e">
        <f>AND(List1!C17,"AAAAAFzu+8M=")</f>
        <v>#VALUE!</v>
      </c>
      <c r="GO2" t="e">
        <f>AND(List1!D17,"AAAAAFzu+8Q=")</f>
        <v>#VALUE!</v>
      </c>
      <c r="GP2" t="e">
        <f>AND(List1!E17,"AAAAAFzu+8U=")</f>
        <v>#VALUE!</v>
      </c>
      <c r="GQ2" t="e">
        <f>AND(List1!F17,"AAAAAFzu+8Y=")</f>
        <v>#VALUE!</v>
      </c>
      <c r="GR2" t="e">
        <f>AND(List1!G17,"AAAAAFzu+8c=")</f>
        <v>#VALUE!</v>
      </c>
      <c r="GS2" t="e">
        <f>AND(List1!H17,"AAAAAFzu+8g=")</f>
        <v>#VALUE!</v>
      </c>
      <c r="GT2" t="e">
        <f>AND(List1!I17,"AAAAAFzu+8k=")</f>
        <v>#VALUE!</v>
      </c>
      <c r="GU2" t="e">
        <f>AND(List1!J17,"AAAAAFzu+8o=")</f>
        <v>#VALUE!</v>
      </c>
      <c r="GV2" t="e">
        <f>AND(List1!K17,"AAAAAFzu+8s=")</f>
        <v>#VALUE!</v>
      </c>
      <c r="GW2" t="e">
        <f>AND(List1!L17,"AAAAAFzu+8w=")</f>
        <v>#VALUE!</v>
      </c>
      <c r="GX2" t="e">
        <f>AND(List1!M17,"AAAAAFzu+80=")</f>
        <v>#VALUE!</v>
      </c>
      <c r="GY2" t="e">
        <f>AND(List1!N17,"AAAAAFzu+84=")</f>
        <v>#VALUE!</v>
      </c>
      <c r="GZ2" t="e">
        <f>AND(List1!O17,"AAAAAFzu+88=")</f>
        <v>#VALUE!</v>
      </c>
      <c r="HA2" t="e">
        <f>AND(List1!P17,"AAAAAFzu+9A=")</f>
        <v>#VALUE!</v>
      </c>
      <c r="HB2" t="e">
        <f>AND(List1!Q17,"AAAAAFzu+9E=")</f>
        <v>#VALUE!</v>
      </c>
      <c r="HC2" t="e">
        <f>AND(List1!R17,"AAAAAFzu+9I=")</f>
        <v>#VALUE!</v>
      </c>
      <c r="HD2" t="e">
        <f>AND(List1!S17,"AAAAAFzu+9M=")</f>
        <v>#VALUE!</v>
      </c>
      <c r="HE2" t="e">
        <f>AND(List1!T17,"AAAAAFzu+9Q=")</f>
        <v>#VALUE!</v>
      </c>
      <c r="HF2" t="e">
        <f>AND(List1!U17,"AAAAAFzu+9U=")</f>
        <v>#VALUE!</v>
      </c>
      <c r="HG2" t="e">
        <f>AND(List1!V17,"AAAAAFzu+9Y=")</f>
        <v>#VALUE!</v>
      </c>
      <c r="HH2" t="e">
        <f>AND(List1!W17,"AAAAAFzu+9c=")</f>
        <v>#VALUE!</v>
      </c>
      <c r="HI2" t="e">
        <f>AND(List1!X17,"AAAAAFzu+9g=")</f>
        <v>#VALUE!</v>
      </c>
      <c r="HJ2" t="e">
        <f>AND(List1!Y17,"AAAAAFzu+9k=")</f>
        <v>#VALUE!</v>
      </c>
      <c r="HK2" t="e">
        <f>AND(List1!Z17,"AAAAAFzu+9o=")</f>
        <v>#VALUE!</v>
      </c>
      <c r="HL2" t="e">
        <f>AND(List1!AA17,"AAAAAFzu+9s=")</f>
        <v>#VALUE!</v>
      </c>
      <c r="HM2" t="e">
        <f>AND(List1!AB17,"AAAAAFzu+9w=")</f>
        <v>#VALUE!</v>
      </c>
      <c r="HN2" t="e">
        <f>AND(List1!AC17,"AAAAAFzu+90=")</f>
        <v>#VALUE!</v>
      </c>
      <c r="HO2" t="e">
        <f>AND(List1!AD17,"AAAAAFzu+94=")</f>
        <v>#VALUE!</v>
      </c>
      <c r="HP2" t="e">
        <f>AND(List1!AE17,"AAAAAFzu+98=")</f>
        <v>#VALUE!</v>
      </c>
      <c r="HQ2">
        <f>IF(List1!18:18,"AAAAAFzu++A=",0)</f>
        <v>0</v>
      </c>
      <c r="HR2" t="e">
        <f>AND(List1!A18,"AAAAAFzu++E=")</f>
        <v>#VALUE!</v>
      </c>
      <c r="HS2" t="e">
        <f>AND(List1!B18,"AAAAAFzu++I=")</f>
        <v>#VALUE!</v>
      </c>
      <c r="HT2" t="e">
        <f>AND(List1!C18,"AAAAAFzu++M=")</f>
        <v>#VALUE!</v>
      </c>
      <c r="HU2" t="e">
        <f>AND(List1!D18,"AAAAAFzu++Q=")</f>
        <v>#VALUE!</v>
      </c>
      <c r="HV2" t="e">
        <f>AND(List1!E18,"AAAAAFzu++U=")</f>
        <v>#VALUE!</v>
      </c>
      <c r="HW2" t="e">
        <f>AND(List1!F18,"AAAAAFzu++Y=")</f>
        <v>#VALUE!</v>
      </c>
      <c r="HX2" t="e">
        <f>AND(List1!G18,"AAAAAFzu++c=")</f>
        <v>#VALUE!</v>
      </c>
      <c r="HY2" t="e">
        <f>AND(List1!H18,"AAAAAFzu++g=")</f>
        <v>#VALUE!</v>
      </c>
      <c r="HZ2" t="e">
        <f>AND(List1!I18,"AAAAAFzu++k=")</f>
        <v>#VALUE!</v>
      </c>
      <c r="IA2" t="e">
        <f>AND(List1!J18,"AAAAAFzu++o=")</f>
        <v>#VALUE!</v>
      </c>
      <c r="IB2" t="e">
        <f>AND(List1!K18,"AAAAAFzu++s=")</f>
        <v>#VALUE!</v>
      </c>
      <c r="IC2" t="e">
        <f>AND(List1!L18,"AAAAAFzu++w=")</f>
        <v>#VALUE!</v>
      </c>
      <c r="ID2" t="e">
        <f>AND(List1!M18,"AAAAAFzu++0=")</f>
        <v>#VALUE!</v>
      </c>
      <c r="IE2" t="e">
        <f>AND(List1!N18,"AAAAAFzu++4=")</f>
        <v>#VALUE!</v>
      </c>
      <c r="IF2" t="e">
        <f>AND(List1!O18,"AAAAAFzu++8=")</f>
        <v>#VALUE!</v>
      </c>
      <c r="IG2" t="e">
        <f>AND(List1!P18,"AAAAAFzu+/A=")</f>
        <v>#VALUE!</v>
      </c>
      <c r="IH2" t="e">
        <f>AND(List1!Q18,"AAAAAFzu+/E=")</f>
        <v>#VALUE!</v>
      </c>
      <c r="II2" t="e">
        <f>AND(List1!R18,"AAAAAFzu+/I=")</f>
        <v>#VALUE!</v>
      </c>
      <c r="IJ2" t="e">
        <f>AND(List1!S18,"AAAAAFzu+/M=")</f>
        <v>#VALUE!</v>
      </c>
      <c r="IK2" t="e">
        <f>AND(List1!T18,"AAAAAFzu+/Q=")</f>
        <v>#VALUE!</v>
      </c>
      <c r="IL2" t="e">
        <f>AND(List1!U18,"AAAAAFzu+/U=")</f>
        <v>#VALUE!</v>
      </c>
      <c r="IM2" t="e">
        <f>AND(List1!V18,"AAAAAFzu+/Y=")</f>
        <v>#VALUE!</v>
      </c>
      <c r="IN2" t="e">
        <f>AND(List1!W18,"AAAAAFzu+/c=")</f>
        <v>#VALUE!</v>
      </c>
      <c r="IO2" t="e">
        <f>AND(List1!X18,"AAAAAFzu+/g=")</f>
        <v>#VALUE!</v>
      </c>
      <c r="IP2" t="e">
        <f>AND(List1!Y18,"AAAAAFzu+/k=")</f>
        <v>#VALUE!</v>
      </c>
      <c r="IQ2" t="e">
        <f>AND(List1!Z18,"AAAAAFzu+/o=")</f>
        <v>#VALUE!</v>
      </c>
      <c r="IR2" t="e">
        <f>AND(List1!AA18,"AAAAAFzu+/s=")</f>
        <v>#VALUE!</v>
      </c>
      <c r="IS2" t="e">
        <f>AND(List1!AB18,"AAAAAFzu+/w=")</f>
        <v>#VALUE!</v>
      </c>
      <c r="IT2" t="e">
        <f>AND(List1!AC18,"AAAAAFzu+/0=")</f>
        <v>#VALUE!</v>
      </c>
      <c r="IU2" t="e">
        <f>AND(List1!AD18,"AAAAAFzu+/4=")</f>
        <v>#VALUE!</v>
      </c>
      <c r="IV2" t="e">
        <f>AND(List1!AE18,"AAAAAFzu+/8=")</f>
        <v>#VALUE!</v>
      </c>
    </row>
    <row r="3" spans="1:256" x14ac:dyDescent="0.25">
      <c r="A3">
        <f>IF(List1!19:19,"AAAAAFnT/QA=",0)</f>
        <v>0</v>
      </c>
      <c r="B3" t="e">
        <f>AND(List1!A19,"AAAAAFnT/QE=")</f>
        <v>#VALUE!</v>
      </c>
      <c r="C3" t="e">
        <f>AND(List1!B19,"AAAAAFnT/QI=")</f>
        <v>#VALUE!</v>
      </c>
      <c r="D3" t="e">
        <f>AND(List1!C19,"AAAAAFnT/QM=")</f>
        <v>#VALUE!</v>
      </c>
      <c r="E3" t="e">
        <f>AND(List1!D19,"AAAAAFnT/QQ=")</f>
        <v>#VALUE!</v>
      </c>
      <c r="F3" t="e">
        <f>AND(List1!E19,"AAAAAFnT/QU=")</f>
        <v>#VALUE!</v>
      </c>
      <c r="G3" t="e">
        <f>AND(List1!F19,"AAAAAFnT/QY=")</f>
        <v>#VALUE!</v>
      </c>
      <c r="H3" t="e">
        <f>AND(List1!G19,"AAAAAFnT/Qc=")</f>
        <v>#VALUE!</v>
      </c>
      <c r="I3" t="e">
        <f>AND(List1!H19,"AAAAAFnT/Qg=")</f>
        <v>#VALUE!</v>
      </c>
      <c r="J3" t="e">
        <f>AND(List1!I19,"AAAAAFnT/Qk=")</f>
        <v>#VALUE!</v>
      </c>
      <c r="K3" t="e">
        <f>AND(List1!J19,"AAAAAFnT/Qo=")</f>
        <v>#VALUE!</v>
      </c>
      <c r="L3" t="e">
        <f>AND(List1!K19,"AAAAAFnT/Qs=")</f>
        <v>#VALUE!</v>
      </c>
      <c r="M3" t="e">
        <f>AND(List1!L19,"AAAAAFnT/Qw=")</f>
        <v>#VALUE!</v>
      </c>
      <c r="N3" t="e">
        <f>AND(List1!M19,"AAAAAFnT/Q0=")</f>
        <v>#VALUE!</v>
      </c>
      <c r="O3" t="e">
        <f>AND(List1!N19,"AAAAAFnT/Q4=")</f>
        <v>#VALUE!</v>
      </c>
      <c r="P3" t="e">
        <f>AND(List1!O19,"AAAAAFnT/Q8=")</f>
        <v>#VALUE!</v>
      </c>
      <c r="Q3" t="e">
        <f>AND(List1!P19,"AAAAAFnT/RA=")</f>
        <v>#VALUE!</v>
      </c>
      <c r="R3" t="e">
        <f>AND(List1!Q19,"AAAAAFnT/RE=")</f>
        <v>#VALUE!</v>
      </c>
      <c r="S3" t="e">
        <f>AND(List1!R19,"AAAAAFnT/RI=")</f>
        <v>#VALUE!</v>
      </c>
      <c r="T3" t="e">
        <f>AND(List1!S19,"AAAAAFnT/RM=")</f>
        <v>#VALUE!</v>
      </c>
      <c r="U3" t="e">
        <f>AND(List1!T19,"AAAAAFnT/RQ=")</f>
        <v>#VALUE!</v>
      </c>
      <c r="V3" t="e">
        <f>AND(List1!U19,"AAAAAFnT/RU=")</f>
        <v>#VALUE!</v>
      </c>
      <c r="W3" t="e">
        <f>AND(List1!V19,"AAAAAFnT/RY=")</f>
        <v>#VALUE!</v>
      </c>
      <c r="X3" t="e">
        <f>AND(List1!W19,"AAAAAFnT/Rc=")</f>
        <v>#VALUE!</v>
      </c>
      <c r="Y3" t="e">
        <f>AND(List1!X19,"AAAAAFnT/Rg=")</f>
        <v>#VALUE!</v>
      </c>
      <c r="Z3" t="e">
        <f>AND(List1!Y19,"AAAAAFnT/Rk=")</f>
        <v>#VALUE!</v>
      </c>
      <c r="AA3" t="e">
        <f>AND(List1!Z19,"AAAAAFnT/Ro=")</f>
        <v>#VALUE!</v>
      </c>
      <c r="AB3" t="e">
        <f>AND(List1!AA19,"AAAAAFnT/Rs=")</f>
        <v>#VALUE!</v>
      </c>
      <c r="AC3" t="e">
        <f>AND(List1!AB19,"AAAAAFnT/Rw=")</f>
        <v>#VALUE!</v>
      </c>
      <c r="AD3" t="e">
        <f>AND(List1!AC19,"AAAAAFnT/R0=")</f>
        <v>#VALUE!</v>
      </c>
      <c r="AE3" t="e">
        <f>AND(List1!AD19,"AAAAAFnT/R4=")</f>
        <v>#VALUE!</v>
      </c>
      <c r="AF3" t="e">
        <f>AND(List1!AE19,"AAAAAFnT/R8=")</f>
        <v>#VALUE!</v>
      </c>
      <c r="AG3">
        <f>IF(List1!20:20,"AAAAAFnT/SA=",0)</f>
        <v>0</v>
      </c>
      <c r="AH3" t="e">
        <f>AND(List1!A20,"AAAAAFnT/SE=")</f>
        <v>#VALUE!</v>
      </c>
      <c r="AI3" t="e">
        <f>AND(List1!B20,"AAAAAFnT/SI=")</f>
        <v>#VALUE!</v>
      </c>
      <c r="AJ3" t="e">
        <f>AND(List1!C20,"AAAAAFnT/SM=")</f>
        <v>#VALUE!</v>
      </c>
      <c r="AK3" t="e">
        <f>AND(List1!D20,"AAAAAFnT/SQ=")</f>
        <v>#VALUE!</v>
      </c>
      <c r="AL3" t="e">
        <f>AND(List1!E20,"AAAAAFnT/SU=")</f>
        <v>#VALUE!</v>
      </c>
      <c r="AM3" t="e">
        <f>AND(List1!F20,"AAAAAFnT/SY=")</f>
        <v>#VALUE!</v>
      </c>
      <c r="AN3" t="e">
        <f>AND(List1!G20,"AAAAAFnT/Sc=")</f>
        <v>#VALUE!</v>
      </c>
      <c r="AO3" t="e">
        <f>AND(List1!H20,"AAAAAFnT/Sg=")</f>
        <v>#VALUE!</v>
      </c>
      <c r="AP3" t="e">
        <f>AND(List1!I20,"AAAAAFnT/Sk=")</f>
        <v>#VALUE!</v>
      </c>
      <c r="AQ3" t="e">
        <f>AND(List1!J20,"AAAAAFnT/So=")</f>
        <v>#VALUE!</v>
      </c>
      <c r="AR3" t="e">
        <f>AND(List1!K20,"AAAAAFnT/Ss=")</f>
        <v>#VALUE!</v>
      </c>
      <c r="AS3" t="e">
        <f>AND(List1!L20,"AAAAAFnT/Sw=")</f>
        <v>#VALUE!</v>
      </c>
      <c r="AT3" t="e">
        <f>AND(List1!M20,"AAAAAFnT/S0=")</f>
        <v>#VALUE!</v>
      </c>
      <c r="AU3" t="e">
        <f>AND(List1!N20,"AAAAAFnT/S4=")</f>
        <v>#VALUE!</v>
      </c>
      <c r="AV3" t="e">
        <f>AND(List1!O20,"AAAAAFnT/S8=")</f>
        <v>#VALUE!</v>
      </c>
      <c r="AW3" t="e">
        <f>AND(List1!P20,"AAAAAFnT/TA=")</f>
        <v>#VALUE!</v>
      </c>
      <c r="AX3" t="e">
        <f>AND(List1!Q20,"AAAAAFnT/TE=")</f>
        <v>#VALUE!</v>
      </c>
      <c r="AY3" t="e">
        <f>AND(List1!R20,"AAAAAFnT/TI=")</f>
        <v>#VALUE!</v>
      </c>
      <c r="AZ3" t="e">
        <f>AND(List1!S20,"AAAAAFnT/TM=")</f>
        <v>#VALUE!</v>
      </c>
      <c r="BA3" t="e">
        <f>AND(List1!T20,"AAAAAFnT/TQ=")</f>
        <v>#VALUE!</v>
      </c>
      <c r="BB3" t="e">
        <f>AND(List1!U20,"AAAAAFnT/TU=")</f>
        <v>#VALUE!</v>
      </c>
      <c r="BC3" t="e">
        <f>AND(List1!V20,"AAAAAFnT/TY=")</f>
        <v>#VALUE!</v>
      </c>
      <c r="BD3" t="e">
        <f>AND(List1!W20,"AAAAAFnT/Tc=")</f>
        <v>#VALUE!</v>
      </c>
      <c r="BE3" t="e">
        <f>AND(List1!X20,"AAAAAFnT/Tg=")</f>
        <v>#VALUE!</v>
      </c>
      <c r="BF3" t="e">
        <f>AND(List1!Y20,"AAAAAFnT/Tk=")</f>
        <v>#VALUE!</v>
      </c>
      <c r="BG3" t="e">
        <f>AND(List1!Z20,"AAAAAFnT/To=")</f>
        <v>#VALUE!</v>
      </c>
      <c r="BH3" t="e">
        <f>AND(List1!AA20,"AAAAAFnT/Ts=")</f>
        <v>#VALUE!</v>
      </c>
      <c r="BI3" t="e">
        <f>AND(List1!AB20,"AAAAAFnT/Tw=")</f>
        <v>#VALUE!</v>
      </c>
      <c r="BJ3" t="e">
        <f>AND(List1!AC20,"AAAAAFnT/T0=")</f>
        <v>#VALUE!</v>
      </c>
      <c r="BK3" t="e">
        <f>AND(List1!AD20,"AAAAAFnT/T4=")</f>
        <v>#VALUE!</v>
      </c>
      <c r="BL3" t="e">
        <f>AND(List1!AE20,"AAAAAFnT/T8=")</f>
        <v>#VALUE!</v>
      </c>
      <c r="BM3">
        <f>IF(List1!21:21,"AAAAAFnT/UA=",0)</f>
        <v>0</v>
      </c>
      <c r="BN3" t="e">
        <f>AND(List1!A21,"AAAAAFnT/UE=")</f>
        <v>#VALUE!</v>
      </c>
      <c r="BO3" t="e">
        <f>AND(List1!B21,"AAAAAFnT/UI=")</f>
        <v>#VALUE!</v>
      </c>
      <c r="BP3" t="e">
        <f>AND(List1!C21,"AAAAAFnT/UM=")</f>
        <v>#VALUE!</v>
      </c>
      <c r="BQ3" t="e">
        <f>AND(List1!D21,"AAAAAFnT/UQ=")</f>
        <v>#VALUE!</v>
      </c>
      <c r="BR3" t="e">
        <f>AND(List1!E21,"AAAAAFnT/UU=")</f>
        <v>#VALUE!</v>
      </c>
      <c r="BS3" t="e">
        <f>AND(List1!F21,"AAAAAFnT/UY=")</f>
        <v>#VALUE!</v>
      </c>
      <c r="BT3" t="e">
        <f>AND(List1!G21,"AAAAAFnT/Uc=")</f>
        <v>#VALUE!</v>
      </c>
      <c r="BU3" t="e">
        <f>AND(List1!H21,"AAAAAFnT/Ug=")</f>
        <v>#VALUE!</v>
      </c>
      <c r="BV3" t="e">
        <f>AND(List1!I21,"AAAAAFnT/Uk=")</f>
        <v>#VALUE!</v>
      </c>
      <c r="BW3" t="e">
        <f>AND(List1!J21,"AAAAAFnT/Uo=")</f>
        <v>#VALUE!</v>
      </c>
      <c r="BX3" t="e">
        <f>AND(List1!K21,"AAAAAFnT/Us=")</f>
        <v>#VALUE!</v>
      </c>
      <c r="BY3" t="e">
        <f>AND(List1!L21,"AAAAAFnT/Uw=")</f>
        <v>#VALUE!</v>
      </c>
      <c r="BZ3" t="e">
        <f>AND(List1!M21,"AAAAAFnT/U0=")</f>
        <v>#VALUE!</v>
      </c>
      <c r="CA3" t="e">
        <f>AND(List1!N21,"AAAAAFnT/U4=")</f>
        <v>#VALUE!</v>
      </c>
      <c r="CB3" t="e">
        <f>AND(List1!O21,"AAAAAFnT/U8=")</f>
        <v>#VALUE!</v>
      </c>
      <c r="CC3" t="e">
        <f>AND(List1!P21,"AAAAAFnT/VA=")</f>
        <v>#VALUE!</v>
      </c>
      <c r="CD3" t="e">
        <f>AND(List1!Q21,"AAAAAFnT/VE=")</f>
        <v>#VALUE!</v>
      </c>
      <c r="CE3" t="e">
        <f>AND(List1!R21,"AAAAAFnT/VI=")</f>
        <v>#VALUE!</v>
      </c>
      <c r="CF3" t="e">
        <f>AND(List1!S21,"AAAAAFnT/VM=")</f>
        <v>#VALUE!</v>
      </c>
      <c r="CG3" t="e">
        <f>AND(List1!T21,"AAAAAFnT/VQ=")</f>
        <v>#VALUE!</v>
      </c>
      <c r="CH3" t="e">
        <f>AND(List1!U21,"AAAAAFnT/VU=")</f>
        <v>#VALUE!</v>
      </c>
      <c r="CI3" t="e">
        <f>AND(List1!V21,"AAAAAFnT/VY=")</f>
        <v>#VALUE!</v>
      </c>
      <c r="CJ3" t="e">
        <f>AND(List1!W21,"AAAAAFnT/Vc=")</f>
        <v>#VALUE!</v>
      </c>
      <c r="CK3" t="e">
        <f>AND(List1!X21,"AAAAAFnT/Vg=")</f>
        <v>#VALUE!</v>
      </c>
      <c r="CL3" t="e">
        <f>AND(List1!Y21,"AAAAAFnT/Vk=")</f>
        <v>#VALUE!</v>
      </c>
      <c r="CM3" t="e">
        <f>AND(List1!Z21,"AAAAAFnT/Vo=")</f>
        <v>#VALUE!</v>
      </c>
      <c r="CN3" t="e">
        <f>AND(List1!AA21,"AAAAAFnT/Vs=")</f>
        <v>#VALUE!</v>
      </c>
      <c r="CO3" t="e">
        <f>AND(List1!AB21,"AAAAAFnT/Vw=")</f>
        <v>#VALUE!</v>
      </c>
      <c r="CP3" t="e">
        <f>AND(List1!AC21,"AAAAAFnT/V0=")</f>
        <v>#VALUE!</v>
      </c>
      <c r="CQ3" t="e">
        <f>AND(List1!AD21,"AAAAAFnT/V4=")</f>
        <v>#VALUE!</v>
      </c>
      <c r="CR3" t="e">
        <f>AND(List1!AE21,"AAAAAFnT/V8=")</f>
        <v>#VALUE!</v>
      </c>
      <c r="CS3">
        <f>IF(List1!22:22,"AAAAAFnT/WA=",0)</f>
        <v>0</v>
      </c>
      <c r="CT3" t="e">
        <f>AND(List1!A22,"AAAAAFnT/WE=")</f>
        <v>#VALUE!</v>
      </c>
      <c r="CU3" t="e">
        <f>AND(List1!B22,"AAAAAFnT/WI=")</f>
        <v>#VALUE!</v>
      </c>
      <c r="CV3" t="e">
        <f>AND(List1!C22,"AAAAAFnT/WM=")</f>
        <v>#VALUE!</v>
      </c>
      <c r="CW3" t="e">
        <f>AND(List1!D22,"AAAAAFnT/WQ=")</f>
        <v>#VALUE!</v>
      </c>
      <c r="CX3" t="e">
        <f>AND(List1!E22,"AAAAAFnT/WU=")</f>
        <v>#VALUE!</v>
      </c>
      <c r="CY3" t="e">
        <f>AND(List1!F22,"AAAAAFnT/WY=")</f>
        <v>#VALUE!</v>
      </c>
      <c r="CZ3" t="e">
        <f>AND(List1!G22,"AAAAAFnT/Wc=")</f>
        <v>#VALUE!</v>
      </c>
      <c r="DA3" t="e">
        <f>AND(List1!H22,"AAAAAFnT/Wg=")</f>
        <v>#VALUE!</v>
      </c>
      <c r="DB3" t="e">
        <f>AND(List1!I22,"AAAAAFnT/Wk=")</f>
        <v>#VALUE!</v>
      </c>
      <c r="DC3" t="e">
        <f>AND(List1!J22,"AAAAAFnT/Wo=")</f>
        <v>#VALUE!</v>
      </c>
      <c r="DD3" t="e">
        <f>AND(List1!K22,"AAAAAFnT/Ws=")</f>
        <v>#VALUE!</v>
      </c>
      <c r="DE3" t="e">
        <f>AND(List1!L22,"AAAAAFnT/Ww=")</f>
        <v>#VALUE!</v>
      </c>
      <c r="DF3" t="e">
        <f>AND(List1!M22,"AAAAAFnT/W0=")</f>
        <v>#VALUE!</v>
      </c>
      <c r="DG3" t="e">
        <f>AND(List1!N22,"AAAAAFnT/W4=")</f>
        <v>#VALUE!</v>
      </c>
      <c r="DH3" t="e">
        <f>AND(List1!O22,"AAAAAFnT/W8=")</f>
        <v>#VALUE!</v>
      </c>
      <c r="DI3" t="e">
        <f>AND(List1!P22,"AAAAAFnT/XA=")</f>
        <v>#VALUE!</v>
      </c>
      <c r="DJ3" t="e">
        <f>AND(List1!Q22,"AAAAAFnT/XE=")</f>
        <v>#VALUE!</v>
      </c>
      <c r="DK3" t="e">
        <f>AND(List1!R22,"AAAAAFnT/XI=")</f>
        <v>#VALUE!</v>
      </c>
      <c r="DL3" t="e">
        <f>AND(List1!S22,"AAAAAFnT/XM=")</f>
        <v>#VALUE!</v>
      </c>
      <c r="DM3" t="e">
        <f>AND(List1!T22,"AAAAAFnT/XQ=")</f>
        <v>#VALUE!</v>
      </c>
      <c r="DN3" t="e">
        <f>AND(List1!U22,"AAAAAFnT/XU=")</f>
        <v>#VALUE!</v>
      </c>
      <c r="DO3" t="e">
        <f>AND(List1!V22,"AAAAAFnT/XY=")</f>
        <v>#VALUE!</v>
      </c>
      <c r="DP3" t="e">
        <f>AND(List1!W22,"AAAAAFnT/Xc=")</f>
        <v>#VALUE!</v>
      </c>
      <c r="DQ3" t="e">
        <f>AND(List1!X22,"AAAAAFnT/Xg=")</f>
        <v>#VALUE!</v>
      </c>
      <c r="DR3" t="e">
        <f>AND(List1!Y22,"AAAAAFnT/Xk=")</f>
        <v>#VALUE!</v>
      </c>
      <c r="DS3" t="e">
        <f>AND(List1!Z22,"AAAAAFnT/Xo=")</f>
        <v>#VALUE!</v>
      </c>
      <c r="DT3" t="e">
        <f>AND(List1!AA22,"AAAAAFnT/Xs=")</f>
        <v>#VALUE!</v>
      </c>
      <c r="DU3" t="e">
        <f>AND(List1!AB22,"AAAAAFnT/Xw=")</f>
        <v>#VALUE!</v>
      </c>
      <c r="DV3" t="e">
        <f>AND(List1!AC22,"AAAAAFnT/X0=")</f>
        <v>#VALUE!</v>
      </c>
      <c r="DW3" t="e">
        <f>AND(List1!AD22,"AAAAAFnT/X4=")</f>
        <v>#VALUE!</v>
      </c>
      <c r="DX3" t="e">
        <f>AND(List1!AE22,"AAAAAFnT/X8=")</f>
        <v>#VALUE!</v>
      </c>
      <c r="DY3">
        <f>IF(List1!23:23,"AAAAAFnT/YA=",0)</f>
        <v>0</v>
      </c>
      <c r="DZ3" t="e">
        <f>AND(List1!A23,"AAAAAFnT/YE=")</f>
        <v>#VALUE!</v>
      </c>
      <c r="EA3" t="e">
        <f>AND(List1!B23,"AAAAAFnT/YI=")</f>
        <v>#VALUE!</v>
      </c>
      <c r="EB3" t="e">
        <f>AND(List1!C23,"AAAAAFnT/YM=")</f>
        <v>#VALUE!</v>
      </c>
      <c r="EC3" t="e">
        <f>AND(List1!D23,"AAAAAFnT/YQ=")</f>
        <v>#VALUE!</v>
      </c>
      <c r="ED3" t="e">
        <f>AND(List1!E23,"AAAAAFnT/YU=")</f>
        <v>#VALUE!</v>
      </c>
      <c r="EE3" t="e">
        <f>AND(List1!F23,"AAAAAFnT/YY=")</f>
        <v>#VALUE!</v>
      </c>
      <c r="EF3" t="e">
        <f>AND(List1!G23,"AAAAAFnT/Yc=")</f>
        <v>#VALUE!</v>
      </c>
      <c r="EG3" t="e">
        <f>AND(List1!H23,"AAAAAFnT/Yg=")</f>
        <v>#VALUE!</v>
      </c>
      <c r="EH3" t="e">
        <f>AND(List1!I23,"AAAAAFnT/Yk=")</f>
        <v>#VALUE!</v>
      </c>
      <c r="EI3" t="e">
        <f>AND(List1!J23,"AAAAAFnT/Yo=")</f>
        <v>#VALUE!</v>
      </c>
      <c r="EJ3" t="e">
        <f>AND(List1!K23,"AAAAAFnT/Ys=")</f>
        <v>#VALUE!</v>
      </c>
      <c r="EK3" t="e">
        <f>AND(List1!L23,"AAAAAFnT/Yw=")</f>
        <v>#VALUE!</v>
      </c>
      <c r="EL3" t="e">
        <f>AND(List1!M23,"AAAAAFnT/Y0=")</f>
        <v>#VALUE!</v>
      </c>
      <c r="EM3" t="e">
        <f>AND(List1!N23,"AAAAAFnT/Y4=")</f>
        <v>#VALUE!</v>
      </c>
      <c r="EN3" t="e">
        <f>AND(List1!O23,"AAAAAFnT/Y8=")</f>
        <v>#VALUE!</v>
      </c>
      <c r="EO3" t="e">
        <f>AND(List1!P23,"AAAAAFnT/ZA=")</f>
        <v>#VALUE!</v>
      </c>
      <c r="EP3" t="e">
        <f>AND(List1!Q23,"AAAAAFnT/ZE=")</f>
        <v>#VALUE!</v>
      </c>
      <c r="EQ3" t="e">
        <f>AND(List1!R23,"AAAAAFnT/ZI=")</f>
        <v>#VALUE!</v>
      </c>
      <c r="ER3" t="e">
        <f>AND(List1!S23,"AAAAAFnT/ZM=")</f>
        <v>#VALUE!</v>
      </c>
      <c r="ES3" t="e">
        <f>AND(List1!T23,"AAAAAFnT/ZQ=")</f>
        <v>#VALUE!</v>
      </c>
      <c r="ET3" t="e">
        <f>AND(List1!U23,"AAAAAFnT/ZU=")</f>
        <v>#VALUE!</v>
      </c>
      <c r="EU3" t="e">
        <f>AND(List1!V23,"AAAAAFnT/ZY=")</f>
        <v>#VALUE!</v>
      </c>
      <c r="EV3" t="e">
        <f>AND(List1!W23,"AAAAAFnT/Zc=")</f>
        <v>#VALUE!</v>
      </c>
      <c r="EW3" t="e">
        <f>AND(List1!X23,"AAAAAFnT/Zg=")</f>
        <v>#VALUE!</v>
      </c>
      <c r="EX3" t="e">
        <f>AND(List1!Y23,"AAAAAFnT/Zk=")</f>
        <v>#VALUE!</v>
      </c>
      <c r="EY3" t="e">
        <f>AND(List1!Z23,"AAAAAFnT/Zo=")</f>
        <v>#VALUE!</v>
      </c>
      <c r="EZ3" t="e">
        <f>AND(List1!AA23,"AAAAAFnT/Zs=")</f>
        <v>#VALUE!</v>
      </c>
      <c r="FA3" t="e">
        <f>AND(List1!AB23,"AAAAAFnT/Zw=")</f>
        <v>#VALUE!</v>
      </c>
      <c r="FB3" t="e">
        <f>AND(List1!AC23,"AAAAAFnT/Z0=")</f>
        <v>#VALUE!</v>
      </c>
      <c r="FC3" t="e">
        <f>AND(List1!AD23,"AAAAAFnT/Z4=")</f>
        <v>#VALUE!</v>
      </c>
      <c r="FD3" t="e">
        <f>AND(List1!AE23,"AAAAAFnT/Z8=")</f>
        <v>#VALUE!</v>
      </c>
      <c r="FE3">
        <f>IF(List1!24:24,"AAAAAFnT/aA=",0)</f>
        <v>0</v>
      </c>
      <c r="FF3" t="e">
        <f>AND(List1!A24,"AAAAAFnT/aE=")</f>
        <v>#VALUE!</v>
      </c>
      <c r="FG3" t="e">
        <f>AND(List1!B24,"AAAAAFnT/aI=")</f>
        <v>#VALUE!</v>
      </c>
      <c r="FH3" t="e">
        <f>AND(List1!C24,"AAAAAFnT/aM=")</f>
        <v>#VALUE!</v>
      </c>
      <c r="FI3" t="e">
        <f>AND(List1!D24,"AAAAAFnT/aQ=")</f>
        <v>#VALUE!</v>
      </c>
      <c r="FJ3" t="e">
        <f>AND(List1!E24,"AAAAAFnT/aU=")</f>
        <v>#VALUE!</v>
      </c>
      <c r="FK3" t="e">
        <f>AND(List1!F24,"AAAAAFnT/aY=")</f>
        <v>#VALUE!</v>
      </c>
      <c r="FL3" t="e">
        <f>AND(List1!G24,"AAAAAFnT/ac=")</f>
        <v>#VALUE!</v>
      </c>
      <c r="FM3" t="e">
        <f>AND(List1!H24,"AAAAAFnT/ag=")</f>
        <v>#VALUE!</v>
      </c>
      <c r="FN3" t="e">
        <f>AND(List1!I24,"AAAAAFnT/ak=")</f>
        <v>#VALUE!</v>
      </c>
      <c r="FO3" t="e">
        <f>AND(List1!J24,"AAAAAFnT/ao=")</f>
        <v>#VALUE!</v>
      </c>
      <c r="FP3" t="e">
        <f>AND(List1!K24,"AAAAAFnT/as=")</f>
        <v>#VALUE!</v>
      </c>
      <c r="FQ3" t="e">
        <f>AND(List1!L24,"AAAAAFnT/aw=")</f>
        <v>#VALUE!</v>
      </c>
      <c r="FR3" t="e">
        <f>AND(List1!M24,"AAAAAFnT/a0=")</f>
        <v>#VALUE!</v>
      </c>
      <c r="FS3" t="e">
        <f>AND(List1!N24,"AAAAAFnT/a4=")</f>
        <v>#VALUE!</v>
      </c>
      <c r="FT3" t="e">
        <f>AND(List1!O24,"AAAAAFnT/a8=")</f>
        <v>#VALUE!</v>
      </c>
      <c r="FU3" t="e">
        <f>AND(List1!P24,"AAAAAFnT/bA=")</f>
        <v>#VALUE!</v>
      </c>
      <c r="FV3" t="e">
        <f>AND(List1!Q24,"AAAAAFnT/bE=")</f>
        <v>#VALUE!</v>
      </c>
      <c r="FW3" t="e">
        <f>AND(List1!R24,"AAAAAFnT/bI=")</f>
        <v>#VALUE!</v>
      </c>
      <c r="FX3" t="e">
        <f>AND(List1!S24,"AAAAAFnT/bM=")</f>
        <v>#VALUE!</v>
      </c>
      <c r="FY3" t="e">
        <f>AND(List1!T24,"AAAAAFnT/bQ=")</f>
        <v>#VALUE!</v>
      </c>
      <c r="FZ3" t="e">
        <f>AND(List1!U24,"AAAAAFnT/bU=")</f>
        <v>#VALUE!</v>
      </c>
      <c r="GA3" t="e">
        <f>AND(List1!V24,"AAAAAFnT/bY=")</f>
        <v>#VALUE!</v>
      </c>
      <c r="GB3" t="e">
        <f>AND(List1!W24,"AAAAAFnT/bc=")</f>
        <v>#VALUE!</v>
      </c>
      <c r="GC3" t="e">
        <f>AND(List1!X24,"AAAAAFnT/bg=")</f>
        <v>#VALUE!</v>
      </c>
      <c r="GD3" t="e">
        <f>AND(List1!Y24,"AAAAAFnT/bk=")</f>
        <v>#VALUE!</v>
      </c>
      <c r="GE3" t="e">
        <f>AND(List1!Z24,"AAAAAFnT/bo=")</f>
        <v>#VALUE!</v>
      </c>
      <c r="GF3" t="e">
        <f>AND(List1!AA24,"AAAAAFnT/bs=")</f>
        <v>#VALUE!</v>
      </c>
      <c r="GG3" t="e">
        <f>AND(List1!AB24,"AAAAAFnT/bw=")</f>
        <v>#VALUE!</v>
      </c>
      <c r="GH3" t="e">
        <f>AND(List1!AC24,"AAAAAFnT/b0=")</f>
        <v>#VALUE!</v>
      </c>
      <c r="GI3" t="e">
        <f>AND(List1!AD24,"AAAAAFnT/b4=")</f>
        <v>#VALUE!</v>
      </c>
      <c r="GJ3" t="e">
        <f>AND(List1!AE24,"AAAAAFnT/b8=")</f>
        <v>#VALUE!</v>
      </c>
      <c r="GK3">
        <f>IF(List1!25:25,"AAAAAFnT/cA=",0)</f>
        <v>0</v>
      </c>
      <c r="GL3" t="e">
        <f>AND(List1!A25,"AAAAAFnT/cE=")</f>
        <v>#VALUE!</v>
      </c>
      <c r="GM3" t="e">
        <f>AND(List1!B25,"AAAAAFnT/cI=")</f>
        <v>#VALUE!</v>
      </c>
      <c r="GN3" t="e">
        <f>AND(List1!C25,"AAAAAFnT/cM=")</f>
        <v>#VALUE!</v>
      </c>
      <c r="GO3" t="e">
        <f>AND(List1!D25,"AAAAAFnT/cQ=")</f>
        <v>#VALUE!</v>
      </c>
      <c r="GP3" t="e">
        <f>AND(List1!E25,"AAAAAFnT/cU=")</f>
        <v>#VALUE!</v>
      </c>
      <c r="GQ3" t="e">
        <f>AND(List1!F25,"AAAAAFnT/cY=")</f>
        <v>#VALUE!</v>
      </c>
      <c r="GR3" t="e">
        <f>AND(List1!G25,"AAAAAFnT/cc=")</f>
        <v>#VALUE!</v>
      </c>
      <c r="GS3" t="e">
        <f>AND(List1!H25,"AAAAAFnT/cg=")</f>
        <v>#VALUE!</v>
      </c>
      <c r="GT3" t="e">
        <f>AND(List1!I25,"AAAAAFnT/ck=")</f>
        <v>#VALUE!</v>
      </c>
      <c r="GU3" t="e">
        <f>AND(List1!J25,"AAAAAFnT/co=")</f>
        <v>#VALUE!</v>
      </c>
      <c r="GV3" t="e">
        <f>AND(List1!K25,"AAAAAFnT/cs=")</f>
        <v>#VALUE!</v>
      </c>
      <c r="GW3" t="e">
        <f>AND(List1!L25,"AAAAAFnT/cw=")</f>
        <v>#VALUE!</v>
      </c>
      <c r="GX3" t="e">
        <f>AND(List1!M25,"AAAAAFnT/c0=")</f>
        <v>#VALUE!</v>
      </c>
      <c r="GY3" t="e">
        <f>AND(List1!N25,"AAAAAFnT/c4=")</f>
        <v>#VALUE!</v>
      </c>
      <c r="GZ3" t="e">
        <f>AND(List1!O25,"AAAAAFnT/c8=")</f>
        <v>#VALUE!</v>
      </c>
      <c r="HA3" t="e">
        <f>AND(List1!P25,"AAAAAFnT/dA=")</f>
        <v>#VALUE!</v>
      </c>
      <c r="HB3" t="e">
        <f>AND(List1!Q25,"AAAAAFnT/dE=")</f>
        <v>#VALUE!</v>
      </c>
      <c r="HC3" t="e">
        <f>AND(List1!R25,"AAAAAFnT/dI=")</f>
        <v>#VALUE!</v>
      </c>
      <c r="HD3" t="e">
        <f>AND(List1!S25,"AAAAAFnT/dM=")</f>
        <v>#VALUE!</v>
      </c>
      <c r="HE3" t="e">
        <f>AND(List1!T25,"AAAAAFnT/dQ=")</f>
        <v>#VALUE!</v>
      </c>
      <c r="HF3" t="e">
        <f>AND(List1!U25,"AAAAAFnT/dU=")</f>
        <v>#VALUE!</v>
      </c>
      <c r="HG3" t="e">
        <f>AND(List1!V25,"AAAAAFnT/dY=")</f>
        <v>#VALUE!</v>
      </c>
      <c r="HH3" t="e">
        <f>AND(List1!W25,"AAAAAFnT/dc=")</f>
        <v>#VALUE!</v>
      </c>
      <c r="HI3" t="e">
        <f>AND(List1!X25,"AAAAAFnT/dg=")</f>
        <v>#VALUE!</v>
      </c>
      <c r="HJ3" t="e">
        <f>AND(List1!Y25,"AAAAAFnT/dk=")</f>
        <v>#VALUE!</v>
      </c>
      <c r="HK3" t="e">
        <f>AND(List1!Z25,"AAAAAFnT/do=")</f>
        <v>#VALUE!</v>
      </c>
      <c r="HL3" t="e">
        <f>AND(List1!AA25,"AAAAAFnT/ds=")</f>
        <v>#VALUE!</v>
      </c>
      <c r="HM3" t="e">
        <f>AND(List1!AB25,"AAAAAFnT/dw=")</f>
        <v>#VALUE!</v>
      </c>
      <c r="HN3" t="e">
        <f>AND(List1!AC25,"AAAAAFnT/d0=")</f>
        <v>#VALUE!</v>
      </c>
      <c r="HO3" t="e">
        <f>AND(List1!AD25,"AAAAAFnT/d4=")</f>
        <v>#VALUE!</v>
      </c>
      <c r="HP3" t="e">
        <f>AND(List1!AE25,"AAAAAFnT/d8=")</f>
        <v>#VALUE!</v>
      </c>
      <c r="HQ3">
        <f>IF(List1!26:26,"AAAAAFnT/eA=",0)</f>
        <v>0</v>
      </c>
      <c r="HR3" t="e">
        <f>AND(List1!A26,"AAAAAFnT/eE=")</f>
        <v>#VALUE!</v>
      </c>
      <c r="HS3" t="e">
        <f>AND(List1!B26,"AAAAAFnT/eI=")</f>
        <v>#VALUE!</v>
      </c>
      <c r="HT3" t="e">
        <f>AND(List1!C26,"AAAAAFnT/eM=")</f>
        <v>#VALUE!</v>
      </c>
      <c r="HU3" t="e">
        <f>AND(List1!D26,"AAAAAFnT/eQ=")</f>
        <v>#VALUE!</v>
      </c>
      <c r="HV3" t="e">
        <f>AND(List1!E26,"AAAAAFnT/eU=")</f>
        <v>#VALUE!</v>
      </c>
      <c r="HW3" t="e">
        <f>AND(List1!F26,"AAAAAFnT/eY=")</f>
        <v>#VALUE!</v>
      </c>
      <c r="HX3" t="e">
        <f>AND(List1!G26,"AAAAAFnT/ec=")</f>
        <v>#VALUE!</v>
      </c>
      <c r="HY3" t="e">
        <f>AND(List1!H26,"AAAAAFnT/eg=")</f>
        <v>#VALUE!</v>
      </c>
      <c r="HZ3" t="e">
        <f>AND(List1!I26,"AAAAAFnT/ek=")</f>
        <v>#VALUE!</v>
      </c>
      <c r="IA3" t="e">
        <f>AND(List1!J26,"AAAAAFnT/eo=")</f>
        <v>#VALUE!</v>
      </c>
      <c r="IB3" t="e">
        <f>AND(List1!K26,"AAAAAFnT/es=")</f>
        <v>#VALUE!</v>
      </c>
      <c r="IC3" t="e">
        <f>AND(List1!L26,"AAAAAFnT/ew=")</f>
        <v>#VALUE!</v>
      </c>
      <c r="ID3" t="e">
        <f>AND(List1!M26,"AAAAAFnT/e0=")</f>
        <v>#VALUE!</v>
      </c>
      <c r="IE3" t="e">
        <f>AND(List1!N26,"AAAAAFnT/e4=")</f>
        <v>#VALUE!</v>
      </c>
      <c r="IF3" t="e">
        <f>AND(List1!O26,"AAAAAFnT/e8=")</f>
        <v>#VALUE!</v>
      </c>
      <c r="IG3" t="e">
        <f>AND(List1!P26,"AAAAAFnT/fA=")</f>
        <v>#VALUE!</v>
      </c>
      <c r="IH3" t="e">
        <f>AND(List1!Q26,"AAAAAFnT/fE=")</f>
        <v>#VALUE!</v>
      </c>
      <c r="II3" t="e">
        <f>AND(List1!R26,"AAAAAFnT/fI=")</f>
        <v>#VALUE!</v>
      </c>
      <c r="IJ3" t="e">
        <f>AND(List1!S26,"AAAAAFnT/fM=")</f>
        <v>#VALUE!</v>
      </c>
      <c r="IK3" t="e">
        <f>AND(List1!T26,"AAAAAFnT/fQ=")</f>
        <v>#VALUE!</v>
      </c>
      <c r="IL3" t="e">
        <f>AND(List1!U26,"AAAAAFnT/fU=")</f>
        <v>#VALUE!</v>
      </c>
      <c r="IM3" t="e">
        <f>AND(List1!V26,"AAAAAFnT/fY=")</f>
        <v>#VALUE!</v>
      </c>
      <c r="IN3" t="e">
        <f>AND(List1!W26,"AAAAAFnT/fc=")</f>
        <v>#VALUE!</v>
      </c>
      <c r="IO3" t="e">
        <f>AND(List1!X26,"AAAAAFnT/fg=")</f>
        <v>#VALUE!</v>
      </c>
      <c r="IP3" t="e">
        <f>AND(List1!Y26,"AAAAAFnT/fk=")</f>
        <v>#VALUE!</v>
      </c>
      <c r="IQ3" t="e">
        <f>AND(List1!Z26,"AAAAAFnT/fo=")</f>
        <v>#VALUE!</v>
      </c>
      <c r="IR3" t="e">
        <f>AND(List1!AA26,"AAAAAFnT/fs=")</f>
        <v>#VALUE!</v>
      </c>
      <c r="IS3" t="e">
        <f>AND(List1!AB26,"AAAAAFnT/fw=")</f>
        <v>#VALUE!</v>
      </c>
      <c r="IT3" t="e">
        <f>AND(List1!AC26,"AAAAAFnT/f0=")</f>
        <v>#VALUE!</v>
      </c>
      <c r="IU3" t="e">
        <f>AND(List1!AD26,"AAAAAFnT/f4=")</f>
        <v>#VALUE!</v>
      </c>
      <c r="IV3" t="e">
        <f>AND(List1!AE26,"AAAAAFnT/f8=")</f>
        <v>#VALUE!</v>
      </c>
    </row>
    <row r="4" spans="1:256" x14ac:dyDescent="0.25">
      <c r="A4">
        <f>IF(List1!27:27,"AAAAAF6nvwA=",0)</f>
        <v>0</v>
      </c>
      <c r="B4" t="e">
        <f>AND(List1!A27,"AAAAAF6nvwE=")</f>
        <v>#VALUE!</v>
      </c>
      <c r="C4" t="e">
        <f>AND(List1!B27,"AAAAAF6nvwI=")</f>
        <v>#VALUE!</v>
      </c>
      <c r="D4" t="e">
        <f>AND(List1!C27,"AAAAAF6nvwM=")</f>
        <v>#VALUE!</v>
      </c>
      <c r="E4" t="e">
        <f>AND(List1!D27,"AAAAAF6nvwQ=")</f>
        <v>#VALUE!</v>
      </c>
      <c r="F4" t="e">
        <f>AND(List1!E27,"AAAAAF6nvwU=")</f>
        <v>#VALUE!</v>
      </c>
      <c r="G4" t="e">
        <f>AND(List1!F27,"AAAAAF6nvwY=")</f>
        <v>#VALUE!</v>
      </c>
      <c r="H4" t="e">
        <f>AND(List1!G27,"AAAAAF6nvwc=")</f>
        <v>#VALUE!</v>
      </c>
      <c r="I4" t="e">
        <f>AND(List1!H27,"AAAAAF6nvwg=")</f>
        <v>#VALUE!</v>
      </c>
      <c r="J4" t="e">
        <f>AND(List1!I27,"AAAAAF6nvwk=")</f>
        <v>#VALUE!</v>
      </c>
      <c r="K4" t="e">
        <f>AND(List1!J27,"AAAAAF6nvwo=")</f>
        <v>#VALUE!</v>
      </c>
      <c r="L4" t="e">
        <f>AND(List1!K27,"AAAAAF6nvws=")</f>
        <v>#VALUE!</v>
      </c>
      <c r="M4" t="e">
        <f>AND(List1!L27,"AAAAAF6nvww=")</f>
        <v>#VALUE!</v>
      </c>
      <c r="N4" t="e">
        <f>AND(List1!M27,"AAAAAF6nvw0=")</f>
        <v>#VALUE!</v>
      </c>
      <c r="O4" t="e">
        <f>AND(List1!N27,"AAAAAF6nvw4=")</f>
        <v>#VALUE!</v>
      </c>
      <c r="P4" t="e">
        <f>AND(List1!O27,"AAAAAF6nvw8=")</f>
        <v>#VALUE!</v>
      </c>
      <c r="Q4" t="e">
        <f>AND(List1!P27,"AAAAAF6nvxA=")</f>
        <v>#VALUE!</v>
      </c>
      <c r="R4" t="e">
        <f>AND(List1!Q27,"AAAAAF6nvxE=")</f>
        <v>#VALUE!</v>
      </c>
      <c r="S4" t="e">
        <f>AND(List1!R27,"AAAAAF6nvxI=")</f>
        <v>#VALUE!</v>
      </c>
      <c r="T4" t="e">
        <f>AND(List1!S27,"AAAAAF6nvxM=")</f>
        <v>#VALUE!</v>
      </c>
      <c r="U4" t="e">
        <f>AND(List1!T27,"AAAAAF6nvxQ=")</f>
        <v>#VALUE!</v>
      </c>
      <c r="V4" t="e">
        <f>AND(List1!U27,"AAAAAF6nvxU=")</f>
        <v>#VALUE!</v>
      </c>
      <c r="W4" t="e">
        <f>AND(List1!V27,"AAAAAF6nvxY=")</f>
        <v>#VALUE!</v>
      </c>
      <c r="X4" t="e">
        <f>AND(List1!W27,"AAAAAF6nvxc=")</f>
        <v>#VALUE!</v>
      </c>
      <c r="Y4" t="e">
        <f>AND(List1!X27,"AAAAAF6nvxg=")</f>
        <v>#VALUE!</v>
      </c>
      <c r="Z4" t="e">
        <f>AND(List1!Y27,"AAAAAF6nvxk=")</f>
        <v>#VALUE!</v>
      </c>
      <c r="AA4" t="e">
        <f>AND(List1!Z27,"AAAAAF6nvxo=")</f>
        <v>#VALUE!</v>
      </c>
      <c r="AB4" t="e">
        <f>AND(List1!AA27,"AAAAAF6nvxs=")</f>
        <v>#VALUE!</v>
      </c>
      <c r="AC4" t="e">
        <f>AND(List1!AB27,"AAAAAF6nvxw=")</f>
        <v>#VALUE!</v>
      </c>
      <c r="AD4" t="e">
        <f>AND(List1!AC27,"AAAAAF6nvx0=")</f>
        <v>#VALUE!</v>
      </c>
      <c r="AE4" t="e">
        <f>AND(List1!AD27,"AAAAAF6nvx4=")</f>
        <v>#VALUE!</v>
      </c>
      <c r="AF4" t="e">
        <f>AND(List1!AE27,"AAAAAF6nvx8=")</f>
        <v>#VALUE!</v>
      </c>
      <c r="AG4">
        <f>IF(List1!28:28,"AAAAAF6nvyA=",0)</f>
        <v>0</v>
      </c>
      <c r="AH4" t="e">
        <f>AND(List1!A28,"AAAAAF6nvyE=")</f>
        <v>#VALUE!</v>
      </c>
      <c r="AI4" t="e">
        <f>AND(List1!B28,"AAAAAF6nvyI=")</f>
        <v>#VALUE!</v>
      </c>
      <c r="AJ4" t="e">
        <f>AND(List1!C28,"AAAAAF6nvyM=")</f>
        <v>#VALUE!</v>
      </c>
      <c r="AK4" t="e">
        <f>AND(List1!D28,"AAAAAF6nvyQ=")</f>
        <v>#VALUE!</v>
      </c>
      <c r="AL4" t="e">
        <f>AND(List1!E28,"AAAAAF6nvyU=")</f>
        <v>#VALUE!</v>
      </c>
      <c r="AM4" t="e">
        <f>AND(List1!F28,"AAAAAF6nvyY=")</f>
        <v>#VALUE!</v>
      </c>
      <c r="AN4" t="e">
        <f>AND(List1!G28,"AAAAAF6nvyc=")</f>
        <v>#VALUE!</v>
      </c>
      <c r="AO4" t="e">
        <f>AND(List1!H28,"AAAAAF6nvyg=")</f>
        <v>#VALUE!</v>
      </c>
      <c r="AP4" t="e">
        <f>AND(List1!I28,"AAAAAF6nvyk=")</f>
        <v>#VALUE!</v>
      </c>
      <c r="AQ4" t="e">
        <f>AND(List1!J28,"AAAAAF6nvyo=")</f>
        <v>#VALUE!</v>
      </c>
      <c r="AR4" t="e">
        <f>AND(List1!K28,"AAAAAF6nvys=")</f>
        <v>#VALUE!</v>
      </c>
      <c r="AS4" t="e">
        <f>AND(List1!L28,"AAAAAF6nvyw=")</f>
        <v>#VALUE!</v>
      </c>
      <c r="AT4" t="e">
        <f>AND(List1!M28,"AAAAAF6nvy0=")</f>
        <v>#VALUE!</v>
      </c>
      <c r="AU4" t="e">
        <f>AND(List1!N28,"AAAAAF6nvy4=")</f>
        <v>#VALUE!</v>
      </c>
      <c r="AV4" t="e">
        <f>AND(List1!O28,"AAAAAF6nvy8=")</f>
        <v>#VALUE!</v>
      </c>
      <c r="AW4" t="e">
        <f>AND(List1!P28,"AAAAAF6nvzA=")</f>
        <v>#VALUE!</v>
      </c>
      <c r="AX4" t="e">
        <f>AND(List1!Q28,"AAAAAF6nvzE=")</f>
        <v>#VALUE!</v>
      </c>
      <c r="AY4" t="e">
        <f>AND(List1!R28,"AAAAAF6nvzI=")</f>
        <v>#VALUE!</v>
      </c>
      <c r="AZ4" t="e">
        <f>AND(List1!S28,"AAAAAF6nvzM=")</f>
        <v>#VALUE!</v>
      </c>
      <c r="BA4" t="e">
        <f>AND(List1!T28,"AAAAAF6nvzQ=")</f>
        <v>#VALUE!</v>
      </c>
      <c r="BB4" t="e">
        <f>AND(List1!U28,"AAAAAF6nvzU=")</f>
        <v>#VALUE!</v>
      </c>
      <c r="BC4" t="e">
        <f>AND(List1!V28,"AAAAAF6nvzY=")</f>
        <v>#VALUE!</v>
      </c>
      <c r="BD4" t="e">
        <f>AND(List1!W28,"AAAAAF6nvzc=")</f>
        <v>#VALUE!</v>
      </c>
      <c r="BE4" t="e">
        <f>AND(List1!X28,"AAAAAF6nvzg=")</f>
        <v>#VALUE!</v>
      </c>
      <c r="BF4" t="e">
        <f>AND(List1!Y28,"AAAAAF6nvzk=")</f>
        <v>#VALUE!</v>
      </c>
      <c r="BG4" t="e">
        <f>AND(List1!Z28,"AAAAAF6nvzo=")</f>
        <v>#VALUE!</v>
      </c>
      <c r="BH4" t="e">
        <f>AND(List1!AA28,"AAAAAF6nvzs=")</f>
        <v>#VALUE!</v>
      </c>
      <c r="BI4" t="e">
        <f>AND(List1!AB28,"AAAAAF6nvzw=")</f>
        <v>#VALUE!</v>
      </c>
      <c r="BJ4" t="e">
        <f>AND(List1!AC28,"AAAAAF6nvz0=")</f>
        <v>#VALUE!</v>
      </c>
      <c r="BK4" t="e">
        <f>AND(List1!AD28,"AAAAAF6nvz4=")</f>
        <v>#VALUE!</v>
      </c>
      <c r="BL4" t="e">
        <f>AND(List1!AE28,"AAAAAF6nvz8=")</f>
        <v>#VALUE!</v>
      </c>
      <c r="BM4">
        <f>IF(List1!29:29,"AAAAAF6nv0A=",0)</f>
        <v>0</v>
      </c>
      <c r="BN4" t="e">
        <f>AND(List1!A29,"AAAAAF6nv0E=")</f>
        <v>#VALUE!</v>
      </c>
      <c r="BO4" t="e">
        <f>AND(List1!B29,"AAAAAF6nv0I=")</f>
        <v>#VALUE!</v>
      </c>
      <c r="BP4" t="e">
        <f>AND(List1!C29,"AAAAAF6nv0M=")</f>
        <v>#VALUE!</v>
      </c>
      <c r="BQ4" t="e">
        <f>AND(List1!D29,"AAAAAF6nv0Q=")</f>
        <v>#VALUE!</v>
      </c>
      <c r="BR4" t="e">
        <f>AND(List1!E29,"AAAAAF6nv0U=")</f>
        <v>#VALUE!</v>
      </c>
      <c r="BS4" t="e">
        <f>AND(List1!F29,"AAAAAF6nv0Y=")</f>
        <v>#VALUE!</v>
      </c>
      <c r="BT4" t="e">
        <f>AND(List1!G29,"AAAAAF6nv0c=")</f>
        <v>#VALUE!</v>
      </c>
      <c r="BU4" t="e">
        <f>AND(List1!H29,"AAAAAF6nv0g=")</f>
        <v>#VALUE!</v>
      </c>
      <c r="BV4" t="e">
        <f>AND(List1!I29,"AAAAAF6nv0k=")</f>
        <v>#VALUE!</v>
      </c>
      <c r="BW4" t="e">
        <f>AND(List1!J29,"AAAAAF6nv0o=")</f>
        <v>#VALUE!</v>
      </c>
      <c r="BX4" t="e">
        <f>AND(List1!K29,"AAAAAF6nv0s=")</f>
        <v>#VALUE!</v>
      </c>
      <c r="BY4" t="e">
        <f>AND(List1!L29,"AAAAAF6nv0w=")</f>
        <v>#VALUE!</v>
      </c>
      <c r="BZ4" t="e">
        <f>AND(List1!M29,"AAAAAF6nv00=")</f>
        <v>#VALUE!</v>
      </c>
      <c r="CA4" t="e">
        <f>AND(List1!N29,"AAAAAF6nv04=")</f>
        <v>#VALUE!</v>
      </c>
      <c r="CB4" t="e">
        <f>AND(List1!O29,"AAAAAF6nv08=")</f>
        <v>#VALUE!</v>
      </c>
      <c r="CC4" t="e">
        <f>AND(List1!P29,"AAAAAF6nv1A=")</f>
        <v>#VALUE!</v>
      </c>
      <c r="CD4" t="e">
        <f>AND(List1!Q29,"AAAAAF6nv1E=")</f>
        <v>#VALUE!</v>
      </c>
      <c r="CE4" t="e">
        <f>AND(List1!R29,"AAAAAF6nv1I=")</f>
        <v>#VALUE!</v>
      </c>
      <c r="CF4" t="e">
        <f>AND(List1!S29,"AAAAAF6nv1M=")</f>
        <v>#VALUE!</v>
      </c>
      <c r="CG4" t="e">
        <f>AND(List1!T29,"AAAAAF6nv1Q=")</f>
        <v>#VALUE!</v>
      </c>
      <c r="CH4" t="e">
        <f>AND(List1!U29,"AAAAAF6nv1U=")</f>
        <v>#VALUE!</v>
      </c>
      <c r="CI4" t="e">
        <f>AND(List1!V29,"AAAAAF6nv1Y=")</f>
        <v>#VALUE!</v>
      </c>
      <c r="CJ4" t="e">
        <f>AND(List1!W29,"AAAAAF6nv1c=")</f>
        <v>#VALUE!</v>
      </c>
      <c r="CK4" t="e">
        <f>AND(List1!X29,"AAAAAF6nv1g=")</f>
        <v>#VALUE!</v>
      </c>
      <c r="CL4" t="e">
        <f>AND(List1!Y29,"AAAAAF6nv1k=")</f>
        <v>#VALUE!</v>
      </c>
      <c r="CM4" t="e">
        <f>AND(List1!Z29,"AAAAAF6nv1o=")</f>
        <v>#VALUE!</v>
      </c>
      <c r="CN4" t="e">
        <f>AND(List1!AA29,"AAAAAF6nv1s=")</f>
        <v>#VALUE!</v>
      </c>
      <c r="CO4" t="e">
        <f>AND(List1!AB29,"AAAAAF6nv1w=")</f>
        <v>#VALUE!</v>
      </c>
      <c r="CP4" t="e">
        <f>AND(List1!AC29,"AAAAAF6nv10=")</f>
        <v>#VALUE!</v>
      </c>
      <c r="CQ4" t="e">
        <f>AND(List1!AD29,"AAAAAF6nv14=")</f>
        <v>#VALUE!</v>
      </c>
      <c r="CR4" t="e">
        <f>AND(List1!AE29,"AAAAAF6nv18=")</f>
        <v>#VALUE!</v>
      </c>
      <c r="CS4">
        <f>IF(List1!30:30,"AAAAAF6nv2A=",0)</f>
        <v>0</v>
      </c>
      <c r="CT4" t="e">
        <f>AND(List1!A30,"AAAAAF6nv2E=")</f>
        <v>#VALUE!</v>
      </c>
      <c r="CU4" t="e">
        <f>AND(List1!B30,"AAAAAF6nv2I=")</f>
        <v>#VALUE!</v>
      </c>
      <c r="CV4" t="e">
        <f>AND(List1!C30,"AAAAAF6nv2M=")</f>
        <v>#VALUE!</v>
      </c>
      <c r="CW4" t="e">
        <f>AND(List1!D30,"AAAAAF6nv2Q=")</f>
        <v>#VALUE!</v>
      </c>
      <c r="CX4" t="e">
        <f>AND(List1!E30,"AAAAAF6nv2U=")</f>
        <v>#VALUE!</v>
      </c>
      <c r="CY4" t="e">
        <f>AND(List1!F30,"AAAAAF6nv2Y=")</f>
        <v>#VALUE!</v>
      </c>
      <c r="CZ4" t="e">
        <f>AND(List1!G30,"AAAAAF6nv2c=")</f>
        <v>#VALUE!</v>
      </c>
      <c r="DA4" t="e">
        <f>AND(List1!H30,"AAAAAF6nv2g=")</f>
        <v>#VALUE!</v>
      </c>
      <c r="DB4" t="e">
        <f>AND(List1!I30,"AAAAAF6nv2k=")</f>
        <v>#VALUE!</v>
      </c>
      <c r="DC4" t="e">
        <f>AND(List1!J30,"AAAAAF6nv2o=")</f>
        <v>#VALUE!</v>
      </c>
      <c r="DD4" t="e">
        <f>AND(List1!K30,"AAAAAF6nv2s=")</f>
        <v>#VALUE!</v>
      </c>
      <c r="DE4" t="e">
        <f>AND(List1!L30,"AAAAAF6nv2w=")</f>
        <v>#VALUE!</v>
      </c>
      <c r="DF4" t="e">
        <f>AND(List1!M30,"AAAAAF6nv20=")</f>
        <v>#VALUE!</v>
      </c>
      <c r="DG4" t="e">
        <f>AND(List1!N30,"AAAAAF6nv24=")</f>
        <v>#VALUE!</v>
      </c>
      <c r="DH4" t="e">
        <f>AND(List1!O30,"AAAAAF6nv28=")</f>
        <v>#VALUE!</v>
      </c>
      <c r="DI4" t="e">
        <f>AND(List1!P30,"AAAAAF6nv3A=")</f>
        <v>#VALUE!</v>
      </c>
      <c r="DJ4" t="e">
        <f>AND(List1!Q30,"AAAAAF6nv3E=")</f>
        <v>#VALUE!</v>
      </c>
      <c r="DK4" t="e">
        <f>AND(List1!R30,"AAAAAF6nv3I=")</f>
        <v>#VALUE!</v>
      </c>
      <c r="DL4" t="e">
        <f>AND(List1!S30,"AAAAAF6nv3M=")</f>
        <v>#VALUE!</v>
      </c>
      <c r="DM4" t="e">
        <f>AND(List1!T30,"AAAAAF6nv3Q=")</f>
        <v>#VALUE!</v>
      </c>
      <c r="DN4" t="e">
        <f>AND(List1!U30,"AAAAAF6nv3U=")</f>
        <v>#VALUE!</v>
      </c>
      <c r="DO4" t="e">
        <f>AND(List1!V30,"AAAAAF6nv3Y=")</f>
        <v>#VALUE!</v>
      </c>
      <c r="DP4" t="e">
        <f>AND(List1!W30,"AAAAAF6nv3c=")</f>
        <v>#VALUE!</v>
      </c>
      <c r="DQ4" t="e">
        <f>AND(List1!X30,"AAAAAF6nv3g=")</f>
        <v>#VALUE!</v>
      </c>
      <c r="DR4" t="e">
        <f>AND(List1!Y30,"AAAAAF6nv3k=")</f>
        <v>#VALUE!</v>
      </c>
      <c r="DS4" t="e">
        <f>AND(List1!Z30,"AAAAAF6nv3o=")</f>
        <v>#VALUE!</v>
      </c>
      <c r="DT4" t="e">
        <f>AND(List1!AA30,"AAAAAF6nv3s=")</f>
        <v>#VALUE!</v>
      </c>
      <c r="DU4" t="e">
        <f>AND(List1!AB30,"AAAAAF6nv3w=")</f>
        <v>#VALUE!</v>
      </c>
      <c r="DV4" t="e">
        <f>AND(List1!AC30,"AAAAAF6nv30=")</f>
        <v>#VALUE!</v>
      </c>
      <c r="DW4" t="e">
        <f>AND(List1!AD30,"AAAAAF6nv34=")</f>
        <v>#VALUE!</v>
      </c>
      <c r="DX4" t="e">
        <f>AND(List1!AE30,"AAAAAF6nv38=")</f>
        <v>#VALUE!</v>
      </c>
      <c r="DY4">
        <f>IF(List1!31:31,"AAAAAF6nv4A=",0)</f>
        <v>0</v>
      </c>
      <c r="DZ4" t="e">
        <f>AND(List1!A31,"AAAAAF6nv4E=")</f>
        <v>#VALUE!</v>
      </c>
      <c r="EA4" t="e">
        <f>AND(List1!B31,"AAAAAF6nv4I=")</f>
        <v>#VALUE!</v>
      </c>
      <c r="EB4" t="e">
        <f>AND(List1!C31,"AAAAAF6nv4M=")</f>
        <v>#VALUE!</v>
      </c>
      <c r="EC4" t="e">
        <f>AND(List1!D31,"AAAAAF6nv4Q=")</f>
        <v>#VALUE!</v>
      </c>
      <c r="ED4" t="e">
        <f>AND(List1!E31,"AAAAAF6nv4U=")</f>
        <v>#VALUE!</v>
      </c>
      <c r="EE4" t="e">
        <f>AND(List1!F31,"AAAAAF6nv4Y=")</f>
        <v>#VALUE!</v>
      </c>
      <c r="EF4" t="e">
        <f>AND(List1!G31,"AAAAAF6nv4c=")</f>
        <v>#VALUE!</v>
      </c>
      <c r="EG4" t="e">
        <f>AND(List1!H31,"AAAAAF6nv4g=")</f>
        <v>#VALUE!</v>
      </c>
      <c r="EH4" t="e">
        <f>AND(List1!I31,"AAAAAF6nv4k=")</f>
        <v>#VALUE!</v>
      </c>
      <c r="EI4" t="e">
        <f>AND(List1!J31,"AAAAAF6nv4o=")</f>
        <v>#VALUE!</v>
      </c>
      <c r="EJ4" t="e">
        <f>AND(List1!K31,"AAAAAF6nv4s=")</f>
        <v>#VALUE!</v>
      </c>
      <c r="EK4" t="e">
        <f>AND(List1!L31,"AAAAAF6nv4w=")</f>
        <v>#VALUE!</v>
      </c>
      <c r="EL4" t="e">
        <f>AND(List1!M31,"AAAAAF6nv40=")</f>
        <v>#VALUE!</v>
      </c>
      <c r="EM4" t="e">
        <f>AND(List1!N31,"AAAAAF6nv44=")</f>
        <v>#VALUE!</v>
      </c>
      <c r="EN4" t="e">
        <f>AND(List1!O31,"AAAAAF6nv48=")</f>
        <v>#VALUE!</v>
      </c>
      <c r="EO4" t="e">
        <f>AND(List1!P31,"AAAAAF6nv5A=")</f>
        <v>#VALUE!</v>
      </c>
      <c r="EP4" t="e">
        <f>AND(List1!Q31,"AAAAAF6nv5E=")</f>
        <v>#VALUE!</v>
      </c>
      <c r="EQ4" t="e">
        <f>AND(List1!R31,"AAAAAF6nv5I=")</f>
        <v>#VALUE!</v>
      </c>
      <c r="ER4" t="e">
        <f>AND(List1!S31,"AAAAAF6nv5M=")</f>
        <v>#VALUE!</v>
      </c>
      <c r="ES4" t="e">
        <f>AND(List1!T31,"AAAAAF6nv5Q=")</f>
        <v>#VALUE!</v>
      </c>
      <c r="ET4" t="e">
        <f>AND(List1!U31,"AAAAAF6nv5U=")</f>
        <v>#VALUE!</v>
      </c>
      <c r="EU4" t="e">
        <f>AND(List1!V31,"AAAAAF6nv5Y=")</f>
        <v>#VALUE!</v>
      </c>
      <c r="EV4" t="e">
        <f>AND(List1!W31,"AAAAAF6nv5c=")</f>
        <v>#VALUE!</v>
      </c>
      <c r="EW4" t="e">
        <f>AND(List1!X31,"AAAAAF6nv5g=")</f>
        <v>#VALUE!</v>
      </c>
      <c r="EX4" t="e">
        <f>AND(List1!Y31,"AAAAAF6nv5k=")</f>
        <v>#VALUE!</v>
      </c>
      <c r="EY4" t="e">
        <f>AND(List1!Z31,"AAAAAF6nv5o=")</f>
        <v>#VALUE!</v>
      </c>
      <c r="EZ4" t="e">
        <f>AND(List1!AA31,"AAAAAF6nv5s=")</f>
        <v>#VALUE!</v>
      </c>
      <c r="FA4" t="e">
        <f>AND(List1!AB31,"AAAAAF6nv5w=")</f>
        <v>#VALUE!</v>
      </c>
      <c r="FB4" t="e">
        <f>AND(List1!AC31,"AAAAAF6nv50=")</f>
        <v>#VALUE!</v>
      </c>
      <c r="FC4" t="e">
        <f>AND(List1!AD31,"AAAAAF6nv54=")</f>
        <v>#VALUE!</v>
      </c>
      <c r="FD4" t="e">
        <f>AND(List1!AE31,"AAAAAF6nv58=")</f>
        <v>#VALUE!</v>
      </c>
      <c r="FE4">
        <f>IF(List1!32:32,"AAAAAF6nv6A=",0)</f>
        <v>0</v>
      </c>
      <c r="FF4" t="e">
        <f>AND(List1!A32,"AAAAAF6nv6E=")</f>
        <v>#VALUE!</v>
      </c>
      <c r="FG4" t="e">
        <f>AND(List1!B32,"AAAAAF6nv6I=")</f>
        <v>#VALUE!</v>
      </c>
      <c r="FH4" t="e">
        <f>AND(List1!C32,"AAAAAF6nv6M=")</f>
        <v>#VALUE!</v>
      </c>
      <c r="FI4" t="e">
        <f>AND(List1!D32,"AAAAAF6nv6Q=")</f>
        <v>#VALUE!</v>
      </c>
      <c r="FJ4" t="e">
        <f>AND(List1!E32,"AAAAAF6nv6U=")</f>
        <v>#VALUE!</v>
      </c>
      <c r="FK4" t="e">
        <f>AND(List1!F32,"AAAAAF6nv6Y=")</f>
        <v>#VALUE!</v>
      </c>
      <c r="FL4" t="e">
        <f>AND(List1!G32,"AAAAAF6nv6c=")</f>
        <v>#VALUE!</v>
      </c>
      <c r="FM4" t="e">
        <f>AND(List1!H32,"AAAAAF6nv6g=")</f>
        <v>#VALUE!</v>
      </c>
      <c r="FN4" t="e">
        <f>AND(List1!I32,"AAAAAF6nv6k=")</f>
        <v>#VALUE!</v>
      </c>
      <c r="FO4" t="e">
        <f>AND(List1!J32,"AAAAAF6nv6o=")</f>
        <v>#VALUE!</v>
      </c>
      <c r="FP4" t="e">
        <f>AND(List1!K32,"AAAAAF6nv6s=")</f>
        <v>#VALUE!</v>
      </c>
      <c r="FQ4" t="e">
        <f>AND(List1!L32,"AAAAAF6nv6w=")</f>
        <v>#VALUE!</v>
      </c>
      <c r="FR4" t="e">
        <f>AND(List1!M32,"AAAAAF6nv60=")</f>
        <v>#VALUE!</v>
      </c>
      <c r="FS4" t="e">
        <f>AND(List1!N32,"AAAAAF6nv64=")</f>
        <v>#VALUE!</v>
      </c>
      <c r="FT4" t="e">
        <f>AND(List1!O32,"AAAAAF6nv68=")</f>
        <v>#VALUE!</v>
      </c>
      <c r="FU4" t="e">
        <f>AND(List1!P32,"AAAAAF6nv7A=")</f>
        <v>#VALUE!</v>
      </c>
      <c r="FV4" t="e">
        <f>AND(List1!Q32,"AAAAAF6nv7E=")</f>
        <v>#VALUE!</v>
      </c>
      <c r="FW4" t="e">
        <f>AND(List1!R32,"AAAAAF6nv7I=")</f>
        <v>#VALUE!</v>
      </c>
      <c r="FX4" t="e">
        <f>AND(List1!S32,"AAAAAF6nv7M=")</f>
        <v>#VALUE!</v>
      </c>
      <c r="FY4" t="e">
        <f>AND(List1!T32,"AAAAAF6nv7Q=")</f>
        <v>#VALUE!</v>
      </c>
      <c r="FZ4" t="e">
        <f>AND(List1!U32,"AAAAAF6nv7U=")</f>
        <v>#VALUE!</v>
      </c>
      <c r="GA4" t="e">
        <f>AND(List1!V32,"AAAAAF6nv7Y=")</f>
        <v>#VALUE!</v>
      </c>
      <c r="GB4" t="e">
        <f>AND(List1!W32,"AAAAAF6nv7c=")</f>
        <v>#VALUE!</v>
      </c>
      <c r="GC4" t="e">
        <f>AND(List1!X32,"AAAAAF6nv7g=")</f>
        <v>#VALUE!</v>
      </c>
      <c r="GD4" t="e">
        <f>AND(List1!Y32,"AAAAAF6nv7k=")</f>
        <v>#VALUE!</v>
      </c>
      <c r="GE4" t="e">
        <f>AND(List1!Z32,"AAAAAF6nv7o=")</f>
        <v>#VALUE!</v>
      </c>
      <c r="GF4" t="e">
        <f>AND(List1!AA32,"AAAAAF6nv7s=")</f>
        <v>#VALUE!</v>
      </c>
      <c r="GG4" t="e">
        <f>AND(List1!AB32,"AAAAAF6nv7w=")</f>
        <v>#VALUE!</v>
      </c>
      <c r="GH4" t="e">
        <f>AND(List1!AC32,"AAAAAF6nv70=")</f>
        <v>#VALUE!</v>
      </c>
      <c r="GI4" t="e">
        <f>AND(List1!AD32,"AAAAAF6nv74=")</f>
        <v>#VALUE!</v>
      </c>
      <c r="GJ4" t="e">
        <f>AND(List1!AE32,"AAAAAF6nv78=")</f>
        <v>#VALUE!</v>
      </c>
      <c r="GK4">
        <f>IF(List1!33:33,"AAAAAF6nv8A=",0)</f>
        <v>0</v>
      </c>
      <c r="GL4" t="e">
        <f>AND(List1!A33,"AAAAAF6nv8E=")</f>
        <v>#VALUE!</v>
      </c>
      <c r="GM4" t="e">
        <f>AND(List1!B33,"AAAAAF6nv8I=")</f>
        <v>#VALUE!</v>
      </c>
      <c r="GN4" t="e">
        <f>AND(List1!C33,"AAAAAF6nv8M=")</f>
        <v>#VALUE!</v>
      </c>
      <c r="GO4" t="e">
        <f>AND(List1!D33,"AAAAAF6nv8Q=")</f>
        <v>#VALUE!</v>
      </c>
      <c r="GP4" t="e">
        <f>AND(List1!E33,"AAAAAF6nv8U=")</f>
        <v>#VALUE!</v>
      </c>
      <c r="GQ4" t="e">
        <f>AND(List1!F33,"AAAAAF6nv8Y=")</f>
        <v>#VALUE!</v>
      </c>
      <c r="GR4" t="e">
        <f>AND(List1!G33,"AAAAAF6nv8c=")</f>
        <v>#VALUE!</v>
      </c>
      <c r="GS4" t="e">
        <f>AND(List1!H33,"AAAAAF6nv8g=")</f>
        <v>#VALUE!</v>
      </c>
      <c r="GT4" t="e">
        <f>AND(List1!I33,"AAAAAF6nv8k=")</f>
        <v>#VALUE!</v>
      </c>
      <c r="GU4" t="e">
        <f>AND(List1!J33,"AAAAAF6nv8o=")</f>
        <v>#VALUE!</v>
      </c>
      <c r="GV4" t="e">
        <f>AND(List1!K33,"AAAAAF6nv8s=")</f>
        <v>#VALUE!</v>
      </c>
      <c r="GW4" t="e">
        <f>AND(List1!L33,"AAAAAF6nv8w=")</f>
        <v>#VALUE!</v>
      </c>
      <c r="GX4" t="e">
        <f>AND(List1!M33,"AAAAAF6nv80=")</f>
        <v>#VALUE!</v>
      </c>
      <c r="GY4" t="e">
        <f>AND(List1!N33,"AAAAAF6nv84=")</f>
        <v>#VALUE!</v>
      </c>
      <c r="GZ4" t="e">
        <f>AND(List1!O33,"AAAAAF6nv88=")</f>
        <v>#VALUE!</v>
      </c>
      <c r="HA4" t="e">
        <f>AND(List1!P33,"AAAAAF6nv9A=")</f>
        <v>#VALUE!</v>
      </c>
      <c r="HB4" t="e">
        <f>AND(List1!Q33,"AAAAAF6nv9E=")</f>
        <v>#VALUE!</v>
      </c>
      <c r="HC4" t="e">
        <f>AND(List1!R33,"AAAAAF6nv9I=")</f>
        <v>#VALUE!</v>
      </c>
      <c r="HD4" t="e">
        <f>AND(List1!S33,"AAAAAF6nv9M=")</f>
        <v>#VALUE!</v>
      </c>
      <c r="HE4" t="e">
        <f>AND(List1!T33,"AAAAAF6nv9Q=")</f>
        <v>#VALUE!</v>
      </c>
      <c r="HF4" t="e">
        <f>AND(List1!U33,"AAAAAF6nv9U=")</f>
        <v>#VALUE!</v>
      </c>
      <c r="HG4" t="e">
        <f>AND(List1!V33,"AAAAAF6nv9Y=")</f>
        <v>#VALUE!</v>
      </c>
      <c r="HH4" t="e">
        <f>AND(List1!W33,"AAAAAF6nv9c=")</f>
        <v>#VALUE!</v>
      </c>
      <c r="HI4" t="e">
        <f>AND(List1!X33,"AAAAAF6nv9g=")</f>
        <v>#VALUE!</v>
      </c>
      <c r="HJ4" t="e">
        <f>AND(List1!Y33,"AAAAAF6nv9k=")</f>
        <v>#VALUE!</v>
      </c>
      <c r="HK4" t="e">
        <f>AND(List1!Z33,"AAAAAF6nv9o=")</f>
        <v>#VALUE!</v>
      </c>
      <c r="HL4" t="e">
        <f>AND(List1!AA33,"AAAAAF6nv9s=")</f>
        <v>#VALUE!</v>
      </c>
      <c r="HM4" t="e">
        <f>AND(List1!AB33,"AAAAAF6nv9w=")</f>
        <v>#VALUE!</v>
      </c>
      <c r="HN4" t="e">
        <f>AND(List1!AC33,"AAAAAF6nv90=")</f>
        <v>#VALUE!</v>
      </c>
      <c r="HO4" t="e">
        <f>AND(List1!AD33,"AAAAAF6nv94=")</f>
        <v>#VALUE!</v>
      </c>
      <c r="HP4" t="e">
        <f>AND(List1!AE33,"AAAAAF6nv98=")</f>
        <v>#VALUE!</v>
      </c>
      <c r="HQ4">
        <f>IF(List1!34:34,"AAAAAF6nv+A=",0)</f>
        <v>0</v>
      </c>
      <c r="HR4" t="e">
        <f>AND(List1!A34,"AAAAAF6nv+E=")</f>
        <v>#VALUE!</v>
      </c>
      <c r="HS4" t="e">
        <f>AND(List1!B34,"AAAAAF6nv+I=")</f>
        <v>#VALUE!</v>
      </c>
      <c r="HT4" t="e">
        <f>AND(List1!C34,"AAAAAF6nv+M=")</f>
        <v>#VALUE!</v>
      </c>
      <c r="HU4" t="e">
        <f>AND(List1!D34,"AAAAAF6nv+Q=")</f>
        <v>#VALUE!</v>
      </c>
      <c r="HV4" t="e">
        <f>AND(List1!E34,"AAAAAF6nv+U=")</f>
        <v>#VALUE!</v>
      </c>
      <c r="HW4" t="e">
        <f>AND(List1!F34,"AAAAAF6nv+Y=")</f>
        <v>#VALUE!</v>
      </c>
      <c r="HX4" t="e">
        <f>AND(List1!G34,"AAAAAF6nv+c=")</f>
        <v>#VALUE!</v>
      </c>
      <c r="HY4" t="e">
        <f>AND(List1!H34,"AAAAAF6nv+g=")</f>
        <v>#VALUE!</v>
      </c>
      <c r="HZ4" t="e">
        <f>AND(List1!I34,"AAAAAF6nv+k=")</f>
        <v>#VALUE!</v>
      </c>
      <c r="IA4" t="e">
        <f>AND(List1!J34,"AAAAAF6nv+o=")</f>
        <v>#VALUE!</v>
      </c>
      <c r="IB4" t="e">
        <f>AND(List1!K34,"AAAAAF6nv+s=")</f>
        <v>#VALUE!</v>
      </c>
      <c r="IC4" t="e">
        <f>AND(List1!L34,"AAAAAF6nv+w=")</f>
        <v>#VALUE!</v>
      </c>
      <c r="ID4" t="e">
        <f>AND(List1!M34,"AAAAAF6nv+0=")</f>
        <v>#VALUE!</v>
      </c>
      <c r="IE4" t="e">
        <f>AND(List1!N34,"AAAAAF6nv+4=")</f>
        <v>#VALUE!</v>
      </c>
      <c r="IF4" t="e">
        <f>AND(List1!O34,"AAAAAF6nv+8=")</f>
        <v>#VALUE!</v>
      </c>
      <c r="IG4" t="e">
        <f>AND(List1!P34,"AAAAAF6nv/A=")</f>
        <v>#VALUE!</v>
      </c>
      <c r="IH4" t="e">
        <f>AND(List1!Q34,"AAAAAF6nv/E=")</f>
        <v>#VALUE!</v>
      </c>
      <c r="II4" t="e">
        <f>AND(List1!R34,"AAAAAF6nv/I=")</f>
        <v>#VALUE!</v>
      </c>
      <c r="IJ4" t="e">
        <f>AND(List1!S34,"AAAAAF6nv/M=")</f>
        <v>#VALUE!</v>
      </c>
      <c r="IK4" t="e">
        <f>AND(List1!T34,"AAAAAF6nv/Q=")</f>
        <v>#VALUE!</v>
      </c>
      <c r="IL4" t="e">
        <f>AND(List1!U34,"AAAAAF6nv/U=")</f>
        <v>#VALUE!</v>
      </c>
      <c r="IM4" t="e">
        <f>AND(List1!V34,"AAAAAF6nv/Y=")</f>
        <v>#VALUE!</v>
      </c>
      <c r="IN4" t="e">
        <f>AND(List1!W34,"AAAAAF6nv/c=")</f>
        <v>#VALUE!</v>
      </c>
      <c r="IO4" t="e">
        <f>AND(List1!X34,"AAAAAF6nv/g=")</f>
        <v>#VALUE!</v>
      </c>
      <c r="IP4" t="e">
        <f>AND(List1!Y34,"AAAAAF6nv/k=")</f>
        <v>#VALUE!</v>
      </c>
      <c r="IQ4" t="e">
        <f>AND(List1!Z34,"AAAAAF6nv/o=")</f>
        <v>#VALUE!</v>
      </c>
      <c r="IR4" t="e">
        <f>AND(List1!AA34,"AAAAAF6nv/s=")</f>
        <v>#VALUE!</v>
      </c>
      <c r="IS4" t="e">
        <f>AND(List1!AB34,"AAAAAF6nv/w=")</f>
        <v>#VALUE!</v>
      </c>
      <c r="IT4" t="e">
        <f>AND(List1!AC34,"AAAAAF6nv/0=")</f>
        <v>#VALUE!</v>
      </c>
      <c r="IU4" t="e">
        <f>AND(List1!AD34,"AAAAAF6nv/4=")</f>
        <v>#VALUE!</v>
      </c>
      <c r="IV4" t="e">
        <f>AND(List1!AE34,"AAAAAF6nv/8=")</f>
        <v>#VALUE!</v>
      </c>
    </row>
    <row r="5" spans="1:256" x14ac:dyDescent="0.25">
      <c r="A5">
        <f>IF(List1!35:35,"AAAAAG//XwA=",0)</f>
        <v>0</v>
      </c>
      <c r="B5" t="e">
        <f>AND(List1!A35,"AAAAAG//XwE=")</f>
        <v>#VALUE!</v>
      </c>
      <c r="C5" t="e">
        <f>AND(List1!B35,"AAAAAG//XwI=")</f>
        <v>#VALUE!</v>
      </c>
      <c r="D5" t="e">
        <f>AND(List1!C35,"AAAAAG//XwM=")</f>
        <v>#VALUE!</v>
      </c>
      <c r="E5" t="e">
        <f>AND(List1!D35,"AAAAAG//XwQ=")</f>
        <v>#VALUE!</v>
      </c>
      <c r="F5" t="e">
        <f>AND(List1!E35,"AAAAAG//XwU=")</f>
        <v>#VALUE!</v>
      </c>
      <c r="G5" t="e">
        <f>AND(List1!F35,"AAAAAG//XwY=")</f>
        <v>#VALUE!</v>
      </c>
      <c r="H5" t="e">
        <f>AND(List1!G35,"AAAAAG//Xwc=")</f>
        <v>#VALUE!</v>
      </c>
      <c r="I5" t="e">
        <f>AND(List1!H35,"AAAAAG//Xwg=")</f>
        <v>#VALUE!</v>
      </c>
      <c r="J5" t="e">
        <f>AND(List1!I35,"AAAAAG//Xwk=")</f>
        <v>#VALUE!</v>
      </c>
      <c r="K5" t="e">
        <f>AND(List1!J35,"AAAAAG//Xwo=")</f>
        <v>#VALUE!</v>
      </c>
      <c r="L5" t="e">
        <f>AND(List1!K35,"AAAAAG//Xws=")</f>
        <v>#VALUE!</v>
      </c>
      <c r="M5" t="e">
        <f>AND(List1!L35,"AAAAAG//Xww=")</f>
        <v>#VALUE!</v>
      </c>
      <c r="N5" t="e">
        <f>AND(List1!M35,"AAAAAG//Xw0=")</f>
        <v>#VALUE!</v>
      </c>
      <c r="O5" t="e">
        <f>AND(List1!N35,"AAAAAG//Xw4=")</f>
        <v>#VALUE!</v>
      </c>
      <c r="P5" t="e">
        <f>AND(List1!O35,"AAAAAG//Xw8=")</f>
        <v>#VALUE!</v>
      </c>
      <c r="Q5" t="e">
        <f>AND(List1!P35,"AAAAAG//XxA=")</f>
        <v>#VALUE!</v>
      </c>
      <c r="R5" t="e">
        <f>AND(List1!Q35,"AAAAAG//XxE=")</f>
        <v>#VALUE!</v>
      </c>
      <c r="S5" t="e">
        <f>AND(List1!R35,"AAAAAG//XxI=")</f>
        <v>#VALUE!</v>
      </c>
      <c r="T5" t="e">
        <f>AND(List1!S35,"AAAAAG//XxM=")</f>
        <v>#VALUE!</v>
      </c>
      <c r="U5" t="e">
        <f>AND(List1!T35,"AAAAAG//XxQ=")</f>
        <v>#VALUE!</v>
      </c>
      <c r="V5" t="e">
        <f>AND(List1!U35,"AAAAAG//XxU=")</f>
        <v>#VALUE!</v>
      </c>
      <c r="W5" t="e">
        <f>AND(List1!V35,"AAAAAG//XxY=")</f>
        <v>#VALUE!</v>
      </c>
      <c r="X5" t="e">
        <f>AND(List1!W35,"AAAAAG//Xxc=")</f>
        <v>#VALUE!</v>
      </c>
      <c r="Y5" t="e">
        <f>AND(List1!X35,"AAAAAG//Xxg=")</f>
        <v>#VALUE!</v>
      </c>
      <c r="Z5" t="e">
        <f>AND(List1!Y35,"AAAAAG//Xxk=")</f>
        <v>#VALUE!</v>
      </c>
      <c r="AA5" t="e">
        <f>AND(List1!Z35,"AAAAAG//Xxo=")</f>
        <v>#VALUE!</v>
      </c>
      <c r="AB5" t="e">
        <f>AND(List1!AA35,"AAAAAG//Xxs=")</f>
        <v>#VALUE!</v>
      </c>
      <c r="AC5" t="e">
        <f>AND(List1!AB35,"AAAAAG//Xxw=")</f>
        <v>#VALUE!</v>
      </c>
      <c r="AD5" t="e">
        <f>AND(List1!AC35,"AAAAAG//Xx0=")</f>
        <v>#VALUE!</v>
      </c>
      <c r="AE5" t="e">
        <f>AND(List1!AD35,"AAAAAG//Xx4=")</f>
        <v>#VALUE!</v>
      </c>
      <c r="AF5" t="e">
        <f>AND(List1!AE35,"AAAAAG//Xx8=")</f>
        <v>#VALUE!</v>
      </c>
      <c r="AG5">
        <f>IF(List1!36:36,"AAAAAG//XyA=",0)</f>
        <v>0</v>
      </c>
      <c r="AH5" t="e">
        <f>AND(List1!A36,"AAAAAG//XyE=")</f>
        <v>#VALUE!</v>
      </c>
      <c r="AI5" t="e">
        <f>AND(List1!B36,"AAAAAG//XyI=")</f>
        <v>#VALUE!</v>
      </c>
      <c r="AJ5" t="e">
        <f>AND(List1!C36,"AAAAAG//XyM=")</f>
        <v>#VALUE!</v>
      </c>
      <c r="AK5" t="e">
        <f>AND(List1!D36,"AAAAAG//XyQ=")</f>
        <v>#VALUE!</v>
      </c>
      <c r="AL5" t="e">
        <f>AND(List1!E36,"AAAAAG//XyU=")</f>
        <v>#VALUE!</v>
      </c>
      <c r="AM5" t="e">
        <f>AND(List1!F36,"AAAAAG//XyY=")</f>
        <v>#VALUE!</v>
      </c>
      <c r="AN5" t="e">
        <f>AND(List1!G36,"AAAAAG//Xyc=")</f>
        <v>#VALUE!</v>
      </c>
      <c r="AO5" t="e">
        <f>AND(List1!H36,"AAAAAG//Xyg=")</f>
        <v>#VALUE!</v>
      </c>
      <c r="AP5" t="e">
        <f>AND(List1!I36,"AAAAAG//Xyk=")</f>
        <v>#VALUE!</v>
      </c>
      <c r="AQ5" t="e">
        <f>AND(List1!J36,"AAAAAG//Xyo=")</f>
        <v>#VALUE!</v>
      </c>
      <c r="AR5" t="e">
        <f>AND(List1!K36,"AAAAAG//Xys=")</f>
        <v>#VALUE!</v>
      </c>
      <c r="AS5" t="e">
        <f>AND(List1!L36,"AAAAAG//Xyw=")</f>
        <v>#VALUE!</v>
      </c>
      <c r="AT5" t="e">
        <f>AND(List1!M36,"AAAAAG//Xy0=")</f>
        <v>#VALUE!</v>
      </c>
      <c r="AU5" t="e">
        <f>AND(List1!N36,"AAAAAG//Xy4=")</f>
        <v>#VALUE!</v>
      </c>
      <c r="AV5" t="e">
        <f>AND(List1!O36,"AAAAAG//Xy8=")</f>
        <v>#VALUE!</v>
      </c>
      <c r="AW5" t="e">
        <f>AND(List1!P36,"AAAAAG//XzA=")</f>
        <v>#VALUE!</v>
      </c>
      <c r="AX5" t="e">
        <f>AND(List1!Q36,"AAAAAG//XzE=")</f>
        <v>#VALUE!</v>
      </c>
      <c r="AY5" t="e">
        <f>AND(List1!R36,"AAAAAG//XzI=")</f>
        <v>#VALUE!</v>
      </c>
      <c r="AZ5" t="e">
        <f>AND(List1!S36,"AAAAAG//XzM=")</f>
        <v>#VALUE!</v>
      </c>
      <c r="BA5" t="e">
        <f>AND(List1!T36,"AAAAAG//XzQ=")</f>
        <v>#VALUE!</v>
      </c>
      <c r="BB5" t="e">
        <f>AND(List1!U36,"AAAAAG//XzU=")</f>
        <v>#VALUE!</v>
      </c>
      <c r="BC5" t="e">
        <f>AND(List1!V36,"AAAAAG//XzY=")</f>
        <v>#VALUE!</v>
      </c>
      <c r="BD5" t="e">
        <f>AND(List1!W36,"AAAAAG//Xzc=")</f>
        <v>#VALUE!</v>
      </c>
      <c r="BE5" t="e">
        <f>AND(List1!X36,"AAAAAG//Xzg=")</f>
        <v>#VALUE!</v>
      </c>
      <c r="BF5" t="e">
        <f>AND(List1!Y36,"AAAAAG//Xzk=")</f>
        <v>#VALUE!</v>
      </c>
      <c r="BG5" t="e">
        <f>AND(List1!Z36,"AAAAAG//Xzo=")</f>
        <v>#VALUE!</v>
      </c>
      <c r="BH5" t="e">
        <f>AND(List1!AA36,"AAAAAG//Xzs=")</f>
        <v>#VALUE!</v>
      </c>
      <c r="BI5" t="e">
        <f>AND(List1!AB36,"AAAAAG//Xzw=")</f>
        <v>#VALUE!</v>
      </c>
      <c r="BJ5" t="e">
        <f>AND(List1!AC36,"AAAAAG//Xz0=")</f>
        <v>#VALUE!</v>
      </c>
      <c r="BK5" t="e">
        <f>AND(List1!AD36,"AAAAAG//Xz4=")</f>
        <v>#VALUE!</v>
      </c>
      <c r="BL5" t="e">
        <f>AND(List1!AE36,"AAAAAG//Xz8=")</f>
        <v>#VALUE!</v>
      </c>
      <c r="BM5">
        <f>IF(List1!37:37,"AAAAAG//X0A=",0)</f>
        <v>0</v>
      </c>
      <c r="BN5" t="e">
        <f>AND(List1!A37,"AAAAAG//X0E=")</f>
        <v>#VALUE!</v>
      </c>
      <c r="BO5" t="e">
        <f>AND(List1!B37,"AAAAAG//X0I=")</f>
        <v>#VALUE!</v>
      </c>
      <c r="BP5" t="e">
        <f>AND(List1!C37,"AAAAAG//X0M=")</f>
        <v>#VALUE!</v>
      </c>
      <c r="BQ5" t="e">
        <f>AND(List1!D37,"AAAAAG//X0Q=")</f>
        <v>#VALUE!</v>
      </c>
      <c r="BR5" t="e">
        <f>AND(List1!E37,"AAAAAG//X0U=")</f>
        <v>#VALUE!</v>
      </c>
      <c r="BS5" t="e">
        <f>AND(List1!F37,"AAAAAG//X0Y=")</f>
        <v>#VALUE!</v>
      </c>
      <c r="BT5" t="e">
        <f>AND(List1!G37,"AAAAAG//X0c=")</f>
        <v>#VALUE!</v>
      </c>
      <c r="BU5" t="e">
        <f>AND(List1!H37,"AAAAAG//X0g=")</f>
        <v>#VALUE!</v>
      </c>
      <c r="BV5" t="e">
        <f>AND(List1!I37,"AAAAAG//X0k=")</f>
        <v>#VALUE!</v>
      </c>
      <c r="BW5" t="e">
        <f>AND(List1!J37,"AAAAAG//X0o=")</f>
        <v>#VALUE!</v>
      </c>
      <c r="BX5" t="e">
        <f>AND(List1!K37,"AAAAAG//X0s=")</f>
        <v>#VALUE!</v>
      </c>
      <c r="BY5" t="e">
        <f>AND(List1!L37,"AAAAAG//X0w=")</f>
        <v>#VALUE!</v>
      </c>
      <c r="BZ5" t="e">
        <f>AND(List1!M37,"AAAAAG//X00=")</f>
        <v>#VALUE!</v>
      </c>
      <c r="CA5" t="e">
        <f>AND(List1!N37,"AAAAAG//X04=")</f>
        <v>#VALUE!</v>
      </c>
      <c r="CB5" t="e">
        <f>AND(List1!O37,"AAAAAG//X08=")</f>
        <v>#VALUE!</v>
      </c>
      <c r="CC5" t="e">
        <f>AND(List1!P37,"AAAAAG//X1A=")</f>
        <v>#VALUE!</v>
      </c>
      <c r="CD5" t="e">
        <f>AND(List1!Q37,"AAAAAG//X1E=")</f>
        <v>#VALUE!</v>
      </c>
      <c r="CE5" t="e">
        <f>AND(List1!R37,"AAAAAG//X1I=")</f>
        <v>#VALUE!</v>
      </c>
      <c r="CF5" t="e">
        <f>AND(List1!S37,"AAAAAG//X1M=")</f>
        <v>#VALUE!</v>
      </c>
      <c r="CG5" t="e">
        <f>AND(List1!T37,"AAAAAG//X1Q=")</f>
        <v>#VALUE!</v>
      </c>
      <c r="CH5" t="e">
        <f>AND(List1!U37,"AAAAAG//X1U=")</f>
        <v>#VALUE!</v>
      </c>
      <c r="CI5" t="e">
        <f>AND(List1!V37,"AAAAAG//X1Y=")</f>
        <v>#VALUE!</v>
      </c>
      <c r="CJ5" t="e">
        <f>AND(List1!W37,"AAAAAG//X1c=")</f>
        <v>#VALUE!</v>
      </c>
      <c r="CK5" t="e">
        <f>AND(List1!X37,"AAAAAG//X1g=")</f>
        <v>#VALUE!</v>
      </c>
      <c r="CL5" t="e">
        <f>AND(List1!Y37,"AAAAAG//X1k=")</f>
        <v>#VALUE!</v>
      </c>
      <c r="CM5" t="e">
        <f>AND(List1!Z37,"AAAAAG//X1o=")</f>
        <v>#VALUE!</v>
      </c>
      <c r="CN5" t="e">
        <f>AND(List1!AA37,"AAAAAG//X1s=")</f>
        <v>#VALUE!</v>
      </c>
      <c r="CO5" t="e">
        <f>AND(List1!AB37,"AAAAAG//X1w=")</f>
        <v>#VALUE!</v>
      </c>
      <c r="CP5" t="e">
        <f>AND(List1!AC37,"AAAAAG//X10=")</f>
        <v>#VALUE!</v>
      </c>
      <c r="CQ5" t="e">
        <f>AND(List1!AD37,"AAAAAG//X14=")</f>
        <v>#VALUE!</v>
      </c>
      <c r="CR5" t="e">
        <f>AND(List1!AE37,"AAAAAG//X18=")</f>
        <v>#VALUE!</v>
      </c>
      <c r="CS5">
        <f>IF(List1!38:38,"AAAAAG//X2A=",0)</f>
        <v>0</v>
      </c>
      <c r="CT5" t="e">
        <f>AND(List1!A38,"AAAAAG//X2E=")</f>
        <v>#VALUE!</v>
      </c>
      <c r="CU5" t="e">
        <f>AND(List1!B38,"AAAAAG//X2I=")</f>
        <v>#VALUE!</v>
      </c>
      <c r="CV5" t="e">
        <f>AND(List1!C38,"AAAAAG//X2M=")</f>
        <v>#VALUE!</v>
      </c>
      <c r="CW5" t="e">
        <f>AND(List1!D38,"AAAAAG//X2Q=")</f>
        <v>#VALUE!</v>
      </c>
      <c r="CX5" t="e">
        <f>AND(List1!E38,"AAAAAG//X2U=")</f>
        <v>#VALUE!</v>
      </c>
      <c r="CY5" t="e">
        <f>AND(List1!F38,"AAAAAG//X2Y=")</f>
        <v>#VALUE!</v>
      </c>
      <c r="CZ5" t="e">
        <f>AND(List1!G38,"AAAAAG//X2c=")</f>
        <v>#VALUE!</v>
      </c>
      <c r="DA5" t="e">
        <f>AND(List1!H38,"AAAAAG//X2g=")</f>
        <v>#VALUE!</v>
      </c>
      <c r="DB5" t="e">
        <f>AND(List1!I38,"AAAAAG//X2k=")</f>
        <v>#VALUE!</v>
      </c>
      <c r="DC5" t="e">
        <f>AND(List1!J38,"AAAAAG//X2o=")</f>
        <v>#VALUE!</v>
      </c>
      <c r="DD5" t="e">
        <f>AND(List1!K38,"AAAAAG//X2s=")</f>
        <v>#VALUE!</v>
      </c>
      <c r="DE5" t="e">
        <f>AND(List1!L38,"AAAAAG//X2w=")</f>
        <v>#VALUE!</v>
      </c>
      <c r="DF5" t="e">
        <f>AND(List1!M38,"AAAAAG//X20=")</f>
        <v>#VALUE!</v>
      </c>
      <c r="DG5" t="e">
        <f>AND(List1!N38,"AAAAAG//X24=")</f>
        <v>#VALUE!</v>
      </c>
      <c r="DH5" t="e">
        <f>AND(List1!O38,"AAAAAG//X28=")</f>
        <v>#VALUE!</v>
      </c>
      <c r="DI5" t="e">
        <f>AND(List1!P38,"AAAAAG//X3A=")</f>
        <v>#VALUE!</v>
      </c>
      <c r="DJ5" t="e">
        <f>AND(List1!Q38,"AAAAAG//X3E=")</f>
        <v>#VALUE!</v>
      </c>
      <c r="DK5" t="e">
        <f>AND(List1!R38,"AAAAAG//X3I=")</f>
        <v>#VALUE!</v>
      </c>
      <c r="DL5" t="e">
        <f>AND(List1!S38,"AAAAAG//X3M=")</f>
        <v>#VALUE!</v>
      </c>
      <c r="DM5" t="e">
        <f>AND(List1!T38,"AAAAAG//X3Q=")</f>
        <v>#VALUE!</v>
      </c>
      <c r="DN5" t="e">
        <f>AND(List1!U38,"AAAAAG//X3U=")</f>
        <v>#VALUE!</v>
      </c>
      <c r="DO5" t="e">
        <f>AND(List1!V38,"AAAAAG//X3Y=")</f>
        <v>#VALUE!</v>
      </c>
      <c r="DP5" t="e">
        <f>AND(List1!W38,"AAAAAG//X3c=")</f>
        <v>#VALUE!</v>
      </c>
      <c r="DQ5" t="e">
        <f>AND(List1!X38,"AAAAAG//X3g=")</f>
        <v>#VALUE!</v>
      </c>
      <c r="DR5" t="e">
        <f>AND(List1!Y38,"AAAAAG//X3k=")</f>
        <v>#VALUE!</v>
      </c>
      <c r="DS5" t="e">
        <f>AND(List1!Z38,"AAAAAG//X3o=")</f>
        <v>#VALUE!</v>
      </c>
      <c r="DT5" t="e">
        <f>AND(List1!AA38,"AAAAAG//X3s=")</f>
        <v>#VALUE!</v>
      </c>
      <c r="DU5" t="e">
        <f>AND(List1!AB38,"AAAAAG//X3w=")</f>
        <v>#VALUE!</v>
      </c>
      <c r="DV5" t="e">
        <f>AND(List1!AC38,"AAAAAG//X30=")</f>
        <v>#VALUE!</v>
      </c>
      <c r="DW5" t="e">
        <f>AND(List1!AD38,"AAAAAG//X34=")</f>
        <v>#VALUE!</v>
      </c>
      <c r="DX5" t="e">
        <f>AND(List1!AE38,"AAAAAG//X38=")</f>
        <v>#VALUE!</v>
      </c>
      <c r="DY5">
        <f>IF(List1!39:39,"AAAAAG//X4A=",0)</f>
        <v>0</v>
      </c>
      <c r="DZ5" t="e">
        <f>AND(List1!A39,"AAAAAG//X4E=")</f>
        <v>#VALUE!</v>
      </c>
      <c r="EA5" t="e">
        <f>AND(List1!B39,"AAAAAG//X4I=")</f>
        <v>#VALUE!</v>
      </c>
      <c r="EB5" t="e">
        <f>AND(List1!C39,"AAAAAG//X4M=")</f>
        <v>#VALUE!</v>
      </c>
      <c r="EC5" t="e">
        <f>AND(List1!D39,"AAAAAG//X4Q=")</f>
        <v>#VALUE!</v>
      </c>
      <c r="ED5" t="e">
        <f>AND(List1!E39,"AAAAAG//X4U=")</f>
        <v>#VALUE!</v>
      </c>
      <c r="EE5" t="e">
        <f>AND(List1!F39,"AAAAAG//X4Y=")</f>
        <v>#VALUE!</v>
      </c>
      <c r="EF5" t="e">
        <f>AND(List1!G39,"AAAAAG//X4c=")</f>
        <v>#VALUE!</v>
      </c>
      <c r="EG5" t="e">
        <f>AND(List1!H39,"AAAAAG//X4g=")</f>
        <v>#VALUE!</v>
      </c>
      <c r="EH5" t="e">
        <f>AND(List1!I39,"AAAAAG//X4k=")</f>
        <v>#VALUE!</v>
      </c>
      <c r="EI5" t="e">
        <f>AND(List1!J39,"AAAAAG//X4o=")</f>
        <v>#VALUE!</v>
      </c>
      <c r="EJ5" t="e">
        <f>AND(List1!K39,"AAAAAG//X4s=")</f>
        <v>#VALUE!</v>
      </c>
      <c r="EK5" t="e">
        <f>AND(List1!L39,"AAAAAG//X4w=")</f>
        <v>#VALUE!</v>
      </c>
      <c r="EL5" t="e">
        <f>AND(List1!M39,"AAAAAG//X40=")</f>
        <v>#VALUE!</v>
      </c>
      <c r="EM5" t="e">
        <f>AND(List1!N39,"AAAAAG//X44=")</f>
        <v>#VALUE!</v>
      </c>
      <c r="EN5" t="e">
        <f>AND(List1!O39,"AAAAAG//X48=")</f>
        <v>#VALUE!</v>
      </c>
      <c r="EO5" t="e">
        <f>AND(List1!P39,"AAAAAG//X5A=")</f>
        <v>#VALUE!</v>
      </c>
      <c r="EP5" t="e">
        <f>AND(List1!Q39,"AAAAAG//X5E=")</f>
        <v>#VALUE!</v>
      </c>
      <c r="EQ5" t="e">
        <f>AND(List1!R39,"AAAAAG//X5I=")</f>
        <v>#VALUE!</v>
      </c>
      <c r="ER5" t="e">
        <f>AND(List1!S39,"AAAAAG//X5M=")</f>
        <v>#VALUE!</v>
      </c>
      <c r="ES5" t="e">
        <f>AND(List1!T39,"AAAAAG//X5Q=")</f>
        <v>#VALUE!</v>
      </c>
      <c r="ET5" t="e">
        <f>AND(List1!U39,"AAAAAG//X5U=")</f>
        <v>#VALUE!</v>
      </c>
      <c r="EU5" t="e">
        <f>AND(List1!V39,"AAAAAG//X5Y=")</f>
        <v>#VALUE!</v>
      </c>
      <c r="EV5" t="e">
        <f>AND(List1!W39,"AAAAAG//X5c=")</f>
        <v>#VALUE!</v>
      </c>
      <c r="EW5" t="e">
        <f>AND(List1!X39,"AAAAAG//X5g=")</f>
        <v>#VALUE!</v>
      </c>
      <c r="EX5" t="e">
        <f>AND(List1!Y39,"AAAAAG//X5k=")</f>
        <v>#VALUE!</v>
      </c>
      <c r="EY5" t="e">
        <f>AND(List1!Z39,"AAAAAG//X5o=")</f>
        <v>#VALUE!</v>
      </c>
      <c r="EZ5" t="e">
        <f>AND(List1!AA39,"AAAAAG//X5s=")</f>
        <v>#VALUE!</v>
      </c>
      <c r="FA5" t="e">
        <f>AND(List1!AB39,"AAAAAG//X5w=")</f>
        <v>#VALUE!</v>
      </c>
      <c r="FB5" t="e">
        <f>AND(List1!AC39,"AAAAAG//X50=")</f>
        <v>#VALUE!</v>
      </c>
      <c r="FC5" t="e">
        <f>AND(List1!AD39,"AAAAAG//X54=")</f>
        <v>#VALUE!</v>
      </c>
      <c r="FD5" t="e">
        <f>AND(List1!AE39,"AAAAAG//X58=")</f>
        <v>#VALUE!</v>
      </c>
      <c r="FE5">
        <f>IF(List1!40:40,"AAAAAG//X6A=",0)</f>
        <v>0</v>
      </c>
      <c r="FF5" t="e">
        <f>AND(List1!A40,"AAAAAG//X6E=")</f>
        <v>#VALUE!</v>
      </c>
      <c r="FG5" t="e">
        <f>AND(List1!B40,"AAAAAG//X6I=")</f>
        <v>#VALUE!</v>
      </c>
      <c r="FH5" t="e">
        <f>AND(List1!C40,"AAAAAG//X6M=")</f>
        <v>#VALUE!</v>
      </c>
      <c r="FI5" t="e">
        <f>AND(List1!D40,"AAAAAG//X6Q=")</f>
        <v>#VALUE!</v>
      </c>
      <c r="FJ5" t="e">
        <f>AND(List1!E40,"AAAAAG//X6U=")</f>
        <v>#VALUE!</v>
      </c>
      <c r="FK5" t="e">
        <f>AND(List1!F40,"AAAAAG//X6Y=")</f>
        <v>#VALUE!</v>
      </c>
      <c r="FL5" t="e">
        <f>AND(List1!G40,"AAAAAG//X6c=")</f>
        <v>#VALUE!</v>
      </c>
      <c r="FM5" t="e">
        <f>AND(List1!H40,"AAAAAG//X6g=")</f>
        <v>#VALUE!</v>
      </c>
      <c r="FN5" t="e">
        <f>AND(List1!I40,"AAAAAG//X6k=")</f>
        <v>#VALUE!</v>
      </c>
      <c r="FO5" t="e">
        <f>AND(List1!J40,"AAAAAG//X6o=")</f>
        <v>#VALUE!</v>
      </c>
      <c r="FP5" t="e">
        <f>AND(List1!K40,"AAAAAG//X6s=")</f>
        <v>#VALUE!</v>
      </c>
      <c r="FQ5" t="e">
        <f>AND(List1!L40,"AAAAAG//X6w=")</f>
        <v>#VALUE!</v>
      </c>
      <c r="FR5" t="e">
        <f>AND(List1!M40,"AAAAAG//X60=")</f>
        <v>#VALUE!</v>
      </c>
      <c r="FS5" t="e">
        <f>AND(List1!N40,"AAAAAG//X64=")</f>
        <v>#VALUE!</v>
      </c>
      <c r="FT5" t="e">
        <f>AND(List1!O40,"AAAAAG//X68=")</f>
        <v>#VALUE!</v>
      </c>
      <c r="FU5" t="e">
        <f>AND(List1!P40,"AAAAAG//X7A=")</f>
        <v>#VALUE!</v>
      </c>
      <c r="FV5" t="e">
        <f>AND(List1!Q40,"AAAAAG//X7E=")</f>
        <v>#VALUE!</v>
      </c>
      <c r="FW5" t="e">
        <f>AND(List1!R40,"AAAAAG//X7I=")</f>
        <v>#VALUE!</v>
      </c>
      <c r="FX5" t="e">
        <f>AND(List1!S40,"AAAAAG//X7M=")</f>
        <v>#VALUE!</v>
      </c>
      <c r="FY5" t="e">
        <f>AND(List1!T40,"AAAAAG//X7Q=")</f>
        <v>#VALUE!</v>
      </c>
      <c r="FZ5" t="e">
        <f>AND(List1!U40,"AAAAAG//X7U=")</f>
        <v>#VALUE!</v>
      </c>
      <c r="GA5" t="e">
        <f>AND(List1!V40,"AAAAAG//X7Y=")</f>
        <v>#VALUE!</v>
      </c>
      <c r="GB5" t="e">
        <f>AND(List1!W40,"AAAAAG//X7c=")</f>
        <v>#VALUE!</v>
      </c>
      <c r="GC5" t="e">
        <f>AND(List1!X40,"AAAAAG//X7g=")</f>
        <v>#VALUE!</v>
      </c>
      <c r="GD5" t="e">
        <f>AND(List1!Y40,"AAAAAG//X7k=")</f>
        <v>#VALUE!</v>
      </c>
      <c r="GE5" t="e">
        <f>AND(List1!Z40,"AAAAAG//X7o=")</f>
        <v>#VALUE!</v>
      </c>
      <c r="GF5" t="e">
        <f>AND(List1!AA40,"AAAAAG//X7s=")</f>
        <v>#VALUE!</v>
      </c>
      <c r="GG5" t="e">
        <f>AND(List1!AB40,"AAAAAG//X7w=")</f>
        <v>#VALUE!</v>
      </c>
      <c r="GH5" t="e">
        <f>AND(List1!AC40,"AAAAAG//X70=")</f>
        <v>#VALUE!</v>
      </c>
      <c r="GI5" t="e">
        <f>AND(List1!AD40,"AAAAAG//X74=")</f>
        <v>#VALUE!</v>
      </c>
      <c r="GJ5" t="e">
        <f>AND(List1!AE40,"AAAAAG//X78=")</f>
        <v>#VALUE!</v>
      </c>
      <c r="GK5">
        <f>IF(List1!41:41,"AAAAAG//X8A=",0)</f>
        <v>0</v>
      </c>
      <c r="GL5" t="e">
        <f>AND(List1!A41,"AAAAAG//X8E=")</f>
        <v>#VALUE!</v>
      </c>
      <c r="GM5" t="e">
        <f>AND(List1!B41,"AAAAAG//X8I=")</f>
        <v>#VALUE!</v>
      </c>
      <c r="GN5" t="e">
        <f>AND(List1!C41,"AAAAAG//X8M=")</f>
        <v>#VALUE!</v>
      </c>
      <c r="GO5" t="e">
        <f>AND(List1!D41,"AAAAAG//X8Q=")</f>
        <v>#VALUE!</v>
      </c>
      <c r="GP5" t="e">
        <f>AND(List1!E41,"AAAAAG//X8U=")</f>
        <v>#VALUE!</v>
      </c>
      <c r="GQ5" t="e">
        <f>AND(List1!F41,"AAAAAG//X8Y=")</f>
        <v>#VALUE!</v>
      </c>
      <c r="GR5" t="e">
        <f>AND(List1!G41,"AAAAAG//X8c=")</f>
        <v>#VALUE!</v>
      </c>
      <c r="GS5" t="e">
        <f>AND(List1!H41,"AAAAAG//X8g=")</f>
        <v>#VALUE!</v>
      </c>
      <c r="GT5" t="e">
        <f>AND(List1!I41,"AAAAAG//X8k=")</f>
        <v>#VALUE!</v>
      </c>
      <c r="GU5" t="e">
        <f>AND(List1!J41,"AAAAAG//X8o=")</f>
        <v>#VALUE!</v>
      </c>
      <c r="GV5" t="e">
        <f>AND(List1!K41,"AAAAAG//X8s=")</f>
        <v>#VALUE!</v>
      </c>
      <c r="GW5" t="e">
        <f>AND(List1!L41,"AAAAAG//X8w=")</f>
        <v>#VALUE!</v>
      </c>
      <c r="GX5" t="e">
        <f>AND(List1!M41,"AAAAAG//X80=")</f>
        <v>#VALUE!</v>
      </c>
      <c r="GY5" t="e">
        <f>AND(List1!N41,"AAAAAG//X84=")</f>
        <v>#VALUE!</v>
      </c>
      <c r="GZ5" t="e">
        <f>AND(List1!O41,"AAAAAG//X88=")</f>
        <v>#VALUE!</v>
      </c>
      <c r="HA5" t="e">
        <f>AND(List1!P41,"AAAAAG//X9A=")</f>
        <v>#VALUE!</v>
      </c>
      <c r="HB5" t="e">
        <f>AND(List1!Q41,"AAAAAG//X9E=")</f>
        <v>#VALUE!</v>
      </c>
      <c r="HC5" t="e">
        <f>AND(List1!R41,"AAAAAG//X9I=")</f>
        <v>#VALUE!</v>
      </c>
      <c r="HD5" t="e">
        <f>AND(List1!S41,"AAAAAG//X9M=")</f>
        <v>#VALUE!</v>
      </c>
      <c r="HE5" t="e">
        <f>AND(List1!T41,"AAAAAG//X9Q=")</f>
        <v>#VALUE!</v>
      </c>
      <c r="HF5" t="e">
        <f>AND(List1!U41,"AAAAAG//X9U=")</f>
        <v>#VALUE!</v>
      </c>
      <c r="HG5" t="e">
        <f>AND(List1!V41,"AAAAAG//X9Y=")</f>
        <v>#VALUE!</v>
      </c>
      <c r="HH5" t="e">
        <f>AND(List1!W41,"AAAAAG//X9c=")</f>
        <v>#VALUE!</v>
      </c>
      <c r="HI5" t="e">
        <f>AND(List1!X41,"AAAAAG//X9g=")</f>
        <v>#VALUE!</v>
      </c>
      <c r="HJ5" t="e">
        <f>AND(List1!Y41,"AAAAAG//X9k=")</f>
        <v>#VALUE!</v>
      </c>
      <c r="HK5" t="e">
        <f>AND(List1!Z41,"AAAAAG//X9o=")</f>
        <v>#VALUE!</v>
      </c>
      <c r="HL5" t="e">
        <f>AND(List1!AA41,"AAAAAG//X9s=")</f>
        <v>#VALUE!</v>
      </c>
      <c r="HM5" t="e">
        <f>AND(List1!AB41,"AAAAAG//X9w=")</f>
        <v>#VALUE!</v>
      </c>
      <c r="HN5" t="e">
        <f>AND(List1!AC41,"AAAAAG//X90=")</f>
        <v>#VALUE!</v>
      </c>
      <c r="HO5" t="e">
        <f>AND(List1!AD41,"AAAAAG//X94=")</f>
        <v>#VALUE!</v>
      </c>
      <c r="HP5" t="e">
        <f>AND(List1!AE41,"AAAAAG//X98=")</f>
        <v>#VALUE!</v>
      </c>
      <c r="HQ5">
        <f>IF(List1!42:42,"AAAAAG//X+A=",0)</f>
        <v>0</v>
      </c>
      <c r="HR5" t="e">
        <f>AND(List1!A42,"AAAAAG//X+E=")</f>
        <v>#VALUE!</v>
      </c>
      <c r="HS5" t="e">
        <f>AND(List1!B42,"AAAAAG//X+I=")</f>
        <v>#VALUE!</v>
      </c>
      <c r="HT5" t="e">
        <f>AND(List1!C42,"AAAAAG//X+M=")</f>
        <v>#VALUE!</v>
      </c>
      <c r="HU5" t="e">
        <f>AND(List1!D42,"AAAAAG//X+Q=")</f>
        <v>#VALUE!</v>
      </c>
      <c r="HV5" t="e">
        <f>AND(List1!E42,"AAAAAG//X+U=")</f>
        <v>#VALUE!</v>
      </c>
      <c r="HW5" t="e">
        <f>AND(List1!F42,"AAAAAG//X+Y=")</f>
        <v>#VALUE!</v>
      </c>
      <c r="HX5" t="e">
        <f>AND(List1!G42,"AAAAAG//X+c=")</f>
        <v>#VALUE!</v>
      </c>
      <c r="HY5" t="e">
        <f>AND(List1!H42,"AAAAAG//X+g=")</f>
        <v>#VALUE!</v>
      </c>
      <c r="HZ5" t="e">
        <f>AND(List1!I42,"AAAAAG//X+k=")</f>
        <v>#VALUE!</v>
      </c>
      <c r="IA5" t="e">
        <f>AND(List1!J42,"AAAAAG//X+o=")</f>
        <v>#VALUE!</v>
      </c>
      <c r="IB5" t="e">
        <f>AND(List1!K42,"AAAAAG//X+s=")</f>
        <v>#VALUE!</v>
      </c>
      <c r="IC5" t="e">
        <f>AND(List1!L42,"AAAAAG//X+w=")</f>
        <v>#VALUE!</v>
      </c>
      <c r="ID5" t="e">
        <f>AND(List1!M42,"AAAAAG//X+0=")</f>
        <v>#VALUE!</v>
      </c>
      <c r="IE5" t="e">
        <f>AND(List1!N42,"AAAAAG//X+4=")</f>
        <v>#VALUE!</v>
      </c>
      <c r="IF5" t="e">
        <f>AND(List1!O42,"AAAAAG//X+8=")</f>
        <v>#VALUE!</v>
      </c>
      <c r="IG5" t="e">
        <f>AND(List1!P42,"AAAAAG//X/A=")</f>
        <v>#VALUE!</v>
      </c>
      <c r="IH5" t="e">
        <f>AND(List1!Q42,"AAAAAG//X/E=")</f>
        <v>#VALUE!</v>
      </c>
      <c r="II5" t="e">
        <f>AND(List1!R42,"AAAAAG//X/I=")</f>
        <v>#VALUE!</v>
      </c>
      <c r="IJ5" t="e">
        <f>AND(List1!S42,"AAAAAG//X/M=")</f>
        <v>#VALUE!</v>
      </c>
      <c r="IK5" t="e">
        <f>AND(List1!T42,"AAAAAG//X/Q=")</f>
        <v>#VALUE!</v>
      </c>
      <c r="IL5" t="e">
        <f>AND(List1!U42,"AAAAAG//X/U=")</f>
        <v>#VALUE!</v>
      </c>
      <c r="IM5" t="e">
        <f>AND(List1!V42,"AAAAAG//X/Y=")</f>
        <v>#VALUE!</v>
      </c>
      <c r="IN5" t="e">
        <f>AND(List1!W42,"AAAAAG//X/c=")</f>
        <v>#VALUE!</v>
      </c>
      <c r="IO5" t="e">
        <f>AND(List1!X42,"AAAAAG//X/g=")</f>
        <v>#VALUE!</v>
      </c>
      <c r="IP5" t="e">
        <f>AND(List1!Y42,"AAAAAG//X/k=")</f>
        <v>#VALUE!</v>
      </c>
      <c r="IQ5" t="e">
        <f>AND(List1!Z42,"AAAAAG//X/o=")</f>
        <v>#VALUE!</v>
      </c>
      <c r="IR5" t="e">
        <f>AND(List1!AA42,"AAAAAG//X/s=")</f>
        <v>#VALUE!</v>
      </c>
      <c r="IS5" t="e">
        <f>AND(List1!AB42,"AAAAAG//X/w=")</f>
        <v>#VALUE!</v>
      </c>
      <c r="IT5" t="e">
        <f>AND(List1!AC42,"AAAAAG//X/0=")</f>
        <v>#VALUE!</v>
      </c>
      <c r="IU5" t="e">
        <f>AND(List1!AD42,"AAAAAG//X/4=")</f>
        <v>#VALUE!</v>
      </c>
      <c r="IV5" t="e">
        <f>AND(List1!AE42,"AAAAAG//X/8=")</f>
        <v>#VALUE!</v>
      </c>
    </row>
    <row r="6" spans="1:256" x14ac:dyDescent="0.25">
      <c r="A6">
        <f>IF(List1!43:43,"AAAAAGfVKgA=",0)</f>
        <v>0</v>
      </c>
      <c r="B6" t="e">
        <f>AND(List1!A43,"AAAAAGfVKgE=")</f>
        <v>#VALUE!</v>
      </c>
      <c r="C6" t="e">
        <f>AND(List1!B43,"AAAAAGfVKgI=")</f>
        <v>#VALUE!</v>
      </c>
      <c r="D6" t="e">
        <f>AND(List1!C43,"AAAAAGfVKgM=")</f>
        <v>#VALUE!</v>
      </c>
      <c r="E6" t="e">
        <f>AND(List1!D43,"AAAAAGfVKgQ=")</f>
        <v>#VALUE!</v>
      </c>
      <c r="F6" t="e">
        <f>AND(List1!E43,"AAAAAGfVKgU=")</f>
        <v>#VALUE!</v>
      </c>
      <c r="G6" t="e">
        <f>AND(List1!F43,"AAAAAGfVKgY=")</f>
        <v>#VALUE!</v>
      </c>
      <c r="H6" t="e">
        <f>AND(List1!G43,"AAAAAGfVKgc=")</f>
        <v>#VALUE!</v>
      </c>
      <c r="I6" t="e">
        <f>AND(List1!H43,"AAAAAGfVKgg=")</f>
        <v>#VALUE!</v>
      </c>
      <c r="J6" t="e">
        <f>AND(List1!I43,"AAAAAGfVKgk=")</f>
        <v>#VALUE!</v>
      </c>
      <c r="K6" t="e">
        <f>AND(List1!J43,"AAAAAGfVKgo=")</f>
        <v>#VALUE!</v>
      </c>
      <c r="L6" t="e">
        <f>AND(List1!K43,"AAAAAGfVKgs=")</f>
        <v>#VALUE!</v>
      </c>
      <c r="M6" t="e">
        <f>AND(List1!L43,"AAAAAGfVKgw=")</f>
        <v>#VALUE!</v>
      </c>
      <c r="N6" t="e">
        <f>AND(List1!M43,"AAAAAGfVKg0=")</f>
        <v>#VALUE!</v>
      </c>
      <c r="O6" t="e">
        <f>AND(List1!N43,"AAAAAGfVKg4=")</f>
        <v>#VALUE!</v>
      </c>
      <c r="P6" t="e">
        <f>AND(List1!O43,"AAAAAGfVKg8=")</f>
        <v>#VALUE!</v>
      </c>
      <c r="Q6" t="e">
        <f>AND(List1!P43,"AAAAAGfVKhA=")</f>
        <v>#VALUE!</v>
      </c>
      <c r="R6" t="e">
        <f>AND(List1!Q43,"AAAAAGfVKhE=")</f>
        <v>#VALUE!</v>
      </c>
      <c r="S6" t="e">
        <f>AND(List1!R43,"AAAAAGfVKhI=")</f>
        <v>#VALUE!</v>
      </c>
      <c r="T6" t="e">
        <f>AND(List1!S43,"AAAAAGfVKhM=")</f>
        <v>#VALUE!</v>
      </c>
      <c r="U6" t="e">
        <f>AND(List1!T43,"AAAAAGfVKhQ=")</f>
        <v>#VALUE!</v>
      </c>
      <c r="V6" t="e">
        <f>AND(List1!U43,"AAAAAGfVKhU=")</f>
        <v>#VALUE!</v>
      </c>
      <c r="W6" t="e">
        <f>AND(List1!V43,"AAAAAGfVKhY=")</f>
        <v>#VALUE!</v>
      </c>
      <c r="X6" t="e">
        <f>AND(List1!W43,"AAAAAGfVKhc=")</f>
        <v>#VALUE!</v>
      </c>
      <c r="Y6" t="e">
        <f>AND(List1!X43,"AAAAAGfVKhg=")</f>
        <v>#VALUE!</v>
      </c>
      <c r="Z6" t="e">
        <f>AND(List1!Y43,"AAAAAGfVKhk=")</f>
        <v>#VALUE!</v>
      </c>
      <c r="AA6" t="e">
        <f>AND(List1!Z43,"AAAAAGfVKho=")</f>
        <v>#VALUE!</v>
      </c>
      <c r="AB6" t="e">
        <f>AND(List1!AA43,"AAAAAGfVKhs=")</f>
        <v>#VALUE!</v>
      </c>
      <c r="AC6" t="e">
        <f>AND(List1!AB43,"AAAAAGfVKhw=")</f>
        <v>#VALUE!</v>
      </c>
      <c r="AD6" t="e">
        <f>AND(List1!AC43,"AAAAAGfVKh0=")</f>
        <v>#VALUE!</v>
      </c>
      <c r="AE6" t="e">
        <f>AND(List1!AD43,"AAAAAGfVKh4=")</f>
        <v>#VALUE!</v>
      </c>
      <c r="AF6" t="e">
        <f>AND(List1!AE43,"AAAAAGfVKh8=")</f>
        <v>#VALUE!</v>
      </c>
      <c r="AG6">
        <f>IF(List1!44:44,"AAAAAGfVKiA=",0)</f>
        <v>0</v>
      </c>
      <c r="AH6" t="e">
        <f>AND(List1!A44,"AAAAAGfVKiE=")</f>
        <v>#VALUE!</v>
      </c>
      <c r="AI6" t="e">
        <f>AND(List1!B44,"AAAAAGfVKiI=")</f>
        <v>#VALUE!</v>
      </c>
      <c r="AJ6" t="e">
        <f>AND(List1!C44,"AAAAAGfVKiM=")</f>
        <v>#VALUE!</v>
      </c>
      <c r="AK6" t="e">
        <f>AND(List1!D44,"AAAAAGfVKiQ=")</f>
        <v>#VALUE!</v>
      </c>
      <c r="AL6" t="e">
        <f>AND(List1!E44,"AAAAAGfVKiU=")</f>
        <v>#VALUE!</v>
      </c>
      <c r="AM6" t="e">
        <f>AND(List1!F44,"AAAAAGfVKiY=")</f>
        <v>#VALUE!</v>
      </c>
      <c r="AN6" t="e">
        <f>AND(List1!G44,"AAAAAGfVKic=")</f>
        <v>#VALUE!</v>
      </c>
      <c r="AO6" t="e">
        <f>AND(List1!H44,"AAAAAGfVKig=")</f>
        <v>#VALUE!</v>
      </c>
      <c r="AP6" t="e">
        <f>AND(List1!I44,"AAAAAGfVKik=")</f>
        <v>#VALUE!</v>
      </c>
      <c r="AQ6" t="e">
        <f>AND(List1!J44,"AAAAAGfVKio=")</f>
        <v>#VALUE!</v>
      </c>
      <c r="AR6" t="e">
        <f>AND(List1!K44,"AAAAAGfVKis=")</f>
        <v>#VALUE!</v>
      </c>
      <c r="AS6" t="e">
        <f>AND(List1!L44,"AAAAAGfVKiw=")</f>
        <v>#VALUE!</v>
      </c>
      <c r="AT6" t="e">
        <f>AND(List1!M44,"AAAAAGfVKi0=")</f>
        <v>#VALUE!</v>
      </c>
      <c r="AU6" t="e">
        <f>AND(List1!N44,"AAAAAGfVKi4=")</f>
        <v>#VALUE!</v>
      </c>
      <c r="AV6" t="e">
        <f>AND(List1!O44,"AAAAAGfVKi8=")</f>
        <v>#VALUE!</v>
      </c>
      <c r="AW6" t="e">
        <f>AND(List1!P44,"AAAAAGfVKjA=")</f>
        <v>#VALUE!</v>
      </c>
      <c r="AX6" t="e">
        <f>AND(List1!Q44,"AAAAAGfVKjE=")</f>
        <v>#VALUE!</v>
      </c>
      <c r="AY6" t="e">
        <f>AND(List1!R44,"AAAAAGfVKjI=")</f>
        <v>#VALUE!</v>
      </c>
      <c r="AZ6" t="e">
        <f>AND(List1!S44,"AAAAAGfVKjM=")</f>
        <v>#VALUE!</v>
      </c>
      <c r="BA6" t="e">
        <f>AND(List1!T44,"AAAAAGfVKjQ=")</f>
        <v>#VALUE!</v>
      </c>
      <c r="BB6" t="e">
        <f>AND(List1!U44,"AAAAAGfVKjU=")</f>
        <v>#VALUE!</v>
      </c>
      <c r="BC6" t="e">
        <f>AND(List1!V44,"AAAAAGfVKjY=")</f>
        <v>#VALUE!</v>
      </c>
      <c r="BD6" t="e">
        <f>AND(List1!W44,"AAAAAGfVKjc=")</f>
        <v>#VALUE!</v>
      </c>
      <c r="BE6" t="e">
        <f>AND(List1!X44,"AAAAAGfVKjg=")</f>
        <v>#VALUE!</v>
      </c>
      <c r="BF6" t="e">
        <f>AND(List1!Y44,"AAAAAGfVKjk=")</f>
        <v>#VALUE!</v>
      </c>
      <c r="BG6" t="e">
        <f>AND(List1!Z44,"AAAAAGfVKjo=")</f>
        <v>#VALUE!</v>
      </c>
      <c r="BH6" t="e">
        <f>AND(List1!AA44,"AAAAAGfVKjs=")</f>
        <v>#VALUE!</v>
      </c>
      <c r="BI6" t="e">
        <f>AND(List1!AB44,"AAAAAGfVKjw=")</f>
        <v>#VALUE!</v>
      </c>
      <c r="BJ6" t="e">
        <f>AND(List1!AC44,"AAAAAGfVKj0=")</f>
        <v>#VALUE!</v>
      </c>
      <c r="BK6" t="e">
        <f>AND(List1!AD44,"AAAAAGfVKj4=")</f>
        <v>#VALUE!</v>
      </c>
      <c r="BL6" t="e">
        <f>AND(List1!AE44,"AAAAAGfVKj8=")</f>
        <v>#VALUE!</v>
      </c>
      <c r="BM6">
        <f>IF(List1!45:45,"AAAAAGfVKkA=",0)</f>
        <v>0</v>
      </c>
      <c r="BN6" t="e">
        <f>AND(List1!A45,"AAAAAGfVKkE=")</f>
        <v>#VALUE!</v>
      </c>
      <c r="BO6" t="e">
        <f>AND(List1!B45,"AAAAAGfVKkI=")</f>
        <v>#VALUE!</v>
      </c>
      <c r="BP6" t="e">
        <f>AND(List1!C45,"AAAAAGfVKkM=")</f>
        <v>#VALUE!</v>
      </c>
      <c r="BQ6" t="e">
        <f>AND(List1!D45,"AAAAAGfVKkQ=")</f>
        <v>#VALUE!</v>
      </c>
      <c r="BR6" t="e">
        <f>AND(List1!E45,"AAAAAGfVKkU=")</f>
        <v>#VALUE!</v>
      </c>
      <c r="BS6" t="e">
        <f>AND(List1!F45,"AAAAAGfVKkY=")</f>
        <v>#VALUE!</v>
      </c>
      <c r="BT6" t="e">
        <f>AND(List1!G45,"AAAAAGfVKkc=")</f>
        <v>#VALUE!</v>
      </c>
      <c r="BU6" t="e">
        <f>AND(List1!H45,"AAAAAGfVKkg=")</f>
        <v>#VALUE!</v>
      </c>
      <c r="BV6" t="e">
        <f>AND(List1!I45,"AAAAAGfVKkk=")</f>
        <v>#VALUE!</v>
      </c>
      <c r="BW6" t="e">
        <f>AND(List1!J45,"AAAAAGfVKko=")</f>
        <v>#VALUE!</v>
      </c>
      <c r="BX6" t="e">
        <f>AND(List1!K45,"AAAAAGfVKks=")</f>
        <v>#VALUE!</v>
      </c>
      <c r="BY6" t="e">
        <f>AND(List1!L45,"AAAAAGfVKkw=")</f>
        <v>#VALUE!</v>
      </c>
      <c r="BZ6" t="e">
        <f>AND(List1!M45,"AAAAAGfVKk0=")</f>
        <v>#VALUE!</v>
      </c>
      <c r="CA6" t="e">
        <f>AND(List1!N45,"AAAAAGfVKk4=")</f>
        <v>#VALUE!</v>
      </c>
      <c r="CB6" t="e">
        <f>AND(List1!O45,"AAAAAGfVKk8=")</f>
        <v>#VALUE!</v>
      </c>
      <c r="CC6" t="e">
        <f>AND(List1!P45,"AAAAAGfVKlA=")</f>
        <v>#VALUE!</v>
      </c>
      <c r="CD6" t="e">
        <f>AND(List1!Q45,"AAAAAGfVKlE=")</f>
        <v>#VALUE!</v>
      </c>
      <c r="CE6" t="e">
        <f>AND(List1!R45,"AAAAAGfVKlI=")</f>
        <v>#VALUE!</v>
      </c>
      <c r="CF6" t="e">
        <f>AND(List1!S45,"AAAAAGfVKlM=")</f>
        <v>#VALUE!</v>
      </c>
      <c r="CG6" t="e">
        <f>AND(List1!T45,"AAAAAGfVKlQ=")</f>
        <v>#VALUE!</v>
      </c>
      <c r="CH6" t="e">
        <f>AND(List1!U45,"AAAAAGfVKlU=")</f>
        <v>#VALUE!</v>
      </c>
      <c r="CI6" t="e">
        <f>AND(List1!V45,"AAAAAGfVKlY=")</f>
        <v>#VALUE!</v>
      </c>
      <c r="CJ6" t="e">
        <f>AND(List1!W45,"AAAAAGfVKlc=")</f>
        <v>#VALUE!</v>
      </c>
      <c r="CK6" t="e">
        <f>AND(List1!X45,"AAAAAGfVKlg=")</f>
        <v>#VALUE!</v>
      </c>
      <c r="CL6" t="e">
        <f>AND(List1!Y45,"AAAAAGfVKlk=")</f>
        <v>#VALUE!</v>
      </c>
      <c r="CM6" t="e">
        <f>AND(List1!Z45,"AAAAAGfVKlo=")</f>
        <v>#VALUE!</v>
      </c>
      <c r="CN6" t="e">
        <f>AND(List1!AA45,"AAAAAGfVKls=")</f>
        <v>#VALUE!</v>
      </c>
      <c r="CO6" t="e">
        <f>AND(List1!AB45,"AAAAAGfVKlw=")</f>
        <v>#VALUE!</v>
      </c>
      <c r="CP6" t="e">
        <f>AND(List1!AC45,"AAAAAGfVKl0=")</f>
        <v>#VALUE!</v>
      </c>
      <c r="CQ6" t="e">
        <f>AND(List1!AD45,"AAAAAGfVKl4=")</f>
        <v>#VALUE!</v>
      </c>
      <c r="CR6" t="e">
        <f>AND(List1!AE45,"AAAAAGfVKl8=")</f>
        <v>#VALUE!</v>
      </c>
      <c r="CS6">
        <f>IF(List1!46:46,"AAAAAGfVKmA=",0)</f>
        <v>0</v>
      </c>
      <c r="CT6" t="e">
        <f>AND(List1!A46,"AAAAAGfVKmE=")</f>
        <v>#VALUE!</v>
      </c>
      <c r="CU6" t="e">
        <f>AND(List1!B46,"AAAAAGfVKmI=")</f>
        <v>#VALUE!</v>
      </c>
      <c r="CV6" t="e">
        <f>AND(List1!C46,"AAAAAGfVKmM=")</f>
        <v>#VALUE!</v>
      </c>
      <c r="CW6" t="e">
        <f>AND(List1!D46,"AAAAAGfVKmQ=")</f>
        <v>#VALUE!</v>
      </c>
      <c r="CX6" t="e">
        <f>AND(List1!E46,"AAAAAGfVKmU=")</f>
        <v>#VALUE!</v>
      </c>
      <c r="CY6" t="e">
        <f>AND(List1!F46,"AAAAAGfVKmY=")</f>
        <v>#VALUE!</v>
      </c>
      <c r="CZ6" t="e">
        <f>AND(List1!G46,"AAAAAGfVKmc=")</f>
        <v>#VALUE!</v>
      </c>
      <c r="DA6" t="e">
        <f>AND(List1!H46,"AAAAAGfVKmg=")</f>
        <v>#VALUE!</v>
      </c>
      <c r="DB6" t="e">
        <f>AND(List1!I46,"AAAAAGfVKmk=")</f>
        <v>#VALUE!</v>
      </c>
      <c r="DC6" t="e">
        <f>AND(List1!J46,"AAAAAGfVKmo=")</f>
        <v>#VALUE!</v>
      </c>
      <c r="DD6" t="e">
        <f>AND(List1!K46,"AAAAAGfVKms=")</f>
        <v>#VALUE!</v>
      </c>
      <c r="DE6" t="e">
        <f>AND(List1!L46,"AAAAAGfVKmw=")</f>
        <v>#VALUE!</v>
      </c>
      <c r="DF6" t="e">
        <f>AND(List1!M46,"AAAAAGfVKm0=")</f>
        <v>#VALUE!</v>
      </c>
      <c r="DG6" t="e">
        <f>AND(List1!N46,"AAAAAGfVKm4=")</f>
        <v>#VALUE!</v>
      </c>
      <c r="DH6" t="e">
        <f>AND(List1!O46,"AAAAAGfVKm8=")</f>
        <v>#VALUE!</v>
      </c>
      <c r="DI6" t="e">
        <f>AND(List1!P46,"AAAAAGfVKnA=")</f>
        <v>#VALUE!</v>
      </c>
      <c r="DJ6" t="e">
        <f>AND(List1!Q46,"AAAAAGfVKnE=")</f>
        <v>#VALUE!</v>
      </c>
      <c r="DK6" t="e">
        <f>AND(List1!R46,"AAAAAGfVKnI=")</f>
        <v>#VALUE!</v>
      </c>
      <c r="DL6" t="e">
        <f>AND(List1!S46,"AAAAAGfVKnM=")</f>
        <v>#VALUE!</v>
      </c>
      <c r="DM6" t="e">
        <f>AND(List1!T46,"AAAAAGfVKnQ=")</f>
        <v>#VALUE!</v>
      </c>
      <c r="DN6" t="e">
        <f>AND(List1!U46,"AAAAAGfVKnU=")</f>
        <v>#VALUE!</v>
      </c>
      <c r="DO6" t="e">
        <f>AND(List1!V46,"AAAAAGfVKnY=")</f>
        <v>#VALUE!</v>
      </c>
      <c r="DP6" t="e">
        <f>AND(List1!W46,"AAAAAGfVKnc=")</f>
        <v>#VALUE!</v>
      </c>
      <c r="DQ6" t="e">
        <f>AND(List1!X46,"AAAAAGfVKng=")</f>
        <v>#VALUE!</v>
      </c>
      <c r="DR6" t="e">
        <f>AND(List1!Y46,"AAAAAGfVKnk=")</f>
        <v>#VALUE!</v>
      </c>
      <c r="DS6" t="e">
        <f>AND(List1!Z46,"AAAAAGfVKno=")</f>
        <v>#VALUE!</v>
      </c>
      <c r="DT6" t="e">
        <f>AND(List1!AA46,"AAAAAGfVKns=")</f>
        <v>#VALUE!</v>
      </c>
      <c r="DU6" t="e">
        <f>AND(List1!AB46,"AAAAAGfVKnw=")</f>
        <v>#VALUE!</v>
      </c>
      <c r="DV6" t="e">
        <f>AND(List1!AC46,"AAAAAGfVKn0=")</f>
        <v>#VALUE!</v>
      </c>
      <c r="DW6" t="e">
        <f>AND(List1!AD46,"AAAAAGfVKn4=")</f>
        <v>#VALUE!</v>
      </c>
      <c r="DX6" t="e">
        <f>AND(List1!AE46,"AAAAAGfVKn8=")</f>
        <v>#VALUE!</v>
      </c>
      <c r="DY6">
        <f>IF(List1!47:47,"AAAAAGfVKoA=",0)</f>
        <v>0</v>
      </c>
      <c r="DZ6" t="e">
        <f>AND(List1!A47,"AAAAAGfVKoE=")</f>
        <v>#VALUE!</v>
      </c>
      <c r="EA6" t="e">
        <f>AND(List1!B47,"AAAAAGfVKoI=")</f>
        <v>#VALUE!</v>
      </c>
      <c r="EB6" t="e">
        <f>AND(List1!C47,"AAAAAGfVKoM=")</f>
        <v>#VALUE!</v>
      </c>
      <c r="EC6" t="e">
        <f>AND(List1!D47,"AAAAAGfVKoQ=")</f>
        <v>#VALUE!</v>
      </c>
      <c r="ED6" t="e">
        <f>AND(List1!E47,"AAAAAGfVKoU=")</f>
        <v>#VALUE!</v>
      </c>
      <c r="EE6" t="e">
        <f>AND(List1!F47,"AAAAAGfVKoY=")</f>
        <v>#VALUE!</v>
      </c>
      <c r="EF6" t="e">
        <f>AND(List1!G47,"AAAAAGfVKoc=")</f>
        <v>#VALUE!</v>
      </c>
      <c r="EG6" t="e">
        <f>AND(List1!H47,"AAAAAGfVKog=")</f>
        <v>#VALUE!</v>
      </c>
      <c r="EH6" t="e">
        <f>AND(List1!I47,"AAAAAGfVKok=")</f>
        <v>#VALUE!</v>
      </c>
      <c r="EI6" t="e">
        <f>AND(List1!J47,"AAAAAGfVKoo=")</f>
        <v>#VALUE!</v>
      </c>
      <c r="EJ6" t="e">
        <f>AND(List1!K47,"AAAAAGfVKos=")</f>
        <v>#VALUE!</v>
      </c>
      <c r="EK6" t="e">
        <f>AND(List1!L47,"AAAAAGfVKow=")</f>
        <v>#VALUE!</v>
      </c>
      <c r="EL6" t="e">
        <f>AND(List1!M47,"AAAAAGfVKo0=")</f>
        <v>#VALUE!</v>
      </c>
      <c r="EM6" t="e">
        <f>AND(List1!N47,"AAAAAGfVKo4=")</f>
        <v>#VALUE!</v>
      </c>
      <c r="EN6" t="e">
        <f>AND(List1!O47,"AAAAAGfVKo8=")</f>
        <v>#VALUE!</v>
      </c>
      <c r="EO6" t="e">
        <f>AND(List1!P47,"AAAAAGfVKpA=")</f>
        <v>#VALUE!</v>
      </c>
      <c r="EP6" t="e">
        <f>AND(List1!Q47,"AAAAAGfVKpE=")</f>
        <v>#VALUE!</v>
      </c>
      <c r="EQ6" t="e">
        <f>AND(List1!R47,"AAAAAGfVKpI=")</f>
        <v>#VALUE!</v>
      </c>
      <c r="ER6" t="e">
        <f>AND(List1!S47,"AAAAAGfVKpM=")</f>
        <v>#VALUE!</v>
      </c>
      <c r="ES6" t="e">
        <f>AND(List1!T47,"AAAAAGfVKpQ=")</f>
        <v>#VALUE!</v>
      </c>
      <c r="ET6" t="e">
        <f>AND(List1!U47,"AAAAAGfVKpU=")</f>
        <v>#VALUE!</v>
      </c>
      <c r="EU6" t="e">
        <f>AND(List1!V47,"AAAAAGfVKpY=")</f>
        <v>#VALUE!</v>
      </c>
      <c r="EV6" t="e">
        <f>AND(List1!W47,"AAAAAGfVKpc=")</f>
        <v>#VALUE!</v>
      </c>
      <c r="EW6" t="e">
        <f>AND(List1!X47,"AAAAAGfVKpg=")</f>
        <v>#VALUE!</v>
      </c>
      <c r="EX6" t="e">
        <f>AND(List1!Y47,"AAAAAGfVKpk=")</f>
        <v>#VALUE!</v>
      </c>
      <c r="EY6" t="e">
        <f>AND(List1!Z47,"AAAAAGfVKpo=")</f>
        <v>#VALUE!</v>
      </c>
      <c r="EZ6" t="e">
        <f>AND(List1!AA47,"AAAAAGfVKps=")</f>
        <v>#VALUE!</v>
      </c>
      <c r="FA6" t="e">
        <f>AND(List1!AB47,"AAAAAGfVKpw=")</f>
        <v>#VALUE!</v>
      </c>
      <c r="FB6" t="e">
        <f>AND(List1!AC47,"AAAAAGfVKp0=")</f>
        <v>#VALUE!</v>
      </c>
      <c r="FC6" t="e">
        <f>AND(List1!AD47,"AAAAAGfVKp4=")</f>
        <v>#VALUE!</v>
      </c>
      <c r="FD6" t="e">
        <f>AND(List1!AE47,"AAAAAGfVKp8=")</f>
        <v>#VALUE!</v>
      </c>
      <c r="FE6">
        <f>IF(List1!48:48,"AAAAAGfVKqA=",0)</f>
        <v>0</v>
      </c>
      <c r="FF6" t="e">
        <f>AND(List1!A48,"AAAAAGfVKqE=")</f>
        <v>#VALUE!</v>
      </c>
      <c r="FG6" t="e">
        <f>AND(List1!B48,"AAAAAGfVKqI=")</f>
        <v>#VALUE!</v>
      </c>
      <c r="FH6" t="e">
        <f>AND(List1!C48,"AAAAAGfVKqM=")</f>
        <v>#VALUE!</v>
      </c>
      <c r="FI6" t="e">
        <f>AND(List1!D48,"AAAAAGfVKqQ=")</f>
        <v>#VALUE!</v>
      </c>
      <c r="FJ6" t="e">
        <f>AND(List1!E48,"AAAAAGfVKqU=")</f>
        <v>#VALUE!</v>
      </c>
      <c r="FK6" t="e">
        <f>AND(List1!F48,"AAAAAGfVKqY=")</f>
        <v>#VALUE!</v>
      </c>
      <c r="FL6" t="e">
        <f>AND(List1!G48,"AAAAAGfVKqc=")</f>
        <v>#VALUE!</v>
      </c>
      <c r="FM6" t="e">
        <f>AND(List1!H48,"AAAAAGfVKqg=")</f>
        <v>#VALUE!</v>
      </c>
      <c r="FN6" t="e">
        <f>AND(List1!I48,"AAAAAGfVKqk=")</f>
        <v>#VALUE!</v>
      </c>
      <c r="FO6" t="e">
        <f>AND(List1!J48,"AAAAAGfVKqo=")</f>
        <v>#VALUE!</v>
      </c>
      <c r="FP6" t="e">
        <f>AND(List1!K48,"AAAAAGfVKqs=")</f>
        <v>#VALUE!</v>
      </c>
      <c r="FQ6" t="e">
        <f>AND(List1!L48,"AAAAAGfVKqw=")</f>
        <v>#VALUE!</v>
      </c>
      <c r="FR6" t="e">
        <f>AND(List1!M48,"AAAAAGfVKq0=")</f>
        <v>#VALUE!</v>
      </c>
      <c r="FS6" t="e">
        <f>AND(List1!N48,"AAAAAGfVKq4=")</f>
        <v>#VALUE!</v>
      </c>
      <c r="FT6" t="e">
        <f>AND(List1!O48,"AAAAAGfVKq8=")</f>
        <v>#VALUE!</v>
      </c>
      <c r="FU6" t="e">
        <f>AND(List1!P48,"AAAAAGfVKrA=")</f>
        <v>#VALUE!</v>
      </c>
      <c r="FV6" t="e">
        <f>AND(List1!Q48,"AAAAAGfVKrE=")</f>
        <v>#VALUE!</v>
      </c>
      <c r="FW6" t="e">
        <f>AND(List1!R48,"AAAAAGfVKrI=")</f>
        <v>#VALUE!</v>
      </c>
      <c r="FX6" t="e">
        <f>AND(List1!S48,"AAAAAGfVKrM=")</f>
        <v>#VALUE!</v>
      </c>
      <c r="FY6" t="e">
        <f>AND(List1!T48,"AAAAAGfVKrQ=")</f>
        <v>#VALUE!</v>
      </c>
      <c r="FZ6" t="e">
        <f>AND(List1!U48,"AAAAAGfVKrU=")</f>
        <v>#VALUE!</v>
      </c>
      <c r="GA6" t="e">
        <f>AND(List1!V48,"AAAAAGfVKrY=")</f>
        <v>#VALUE!</v>
      </c>
      <c r="GB6" t="e">
        <f>AND(List1!W48,"AAAAAGfVKrc=")</f>
        <v>#VALUE!</v>
      </c>
      <c r="GC6" t="e">
        <f>AND(List1!X48,"AAAAAGfVKrg=")</f>
        <v>#VALUE!</v>
      </c>
      <c r="GD6" t="e">
        <f>AND(List1!Y48,"AAAAAGfVKrk=")</f>
        <v>#VALUE!</v>
      </c>
      <c r="GE6" t="e">
        <f>AND(List1!Z48,"AAAAAGfVKro=")</f>
        <v>#VALUE!</v>
      </c>
      <c r="GF6" t="e">
        <f>AND(List1!AA48,"AAAAAGfVKrs=")</f>
        <v>#VALUE!</v>
      </c>
      <c r="GG6" t="e">
        <f>AND(List1!AB48,"AAAAAGfVKrw=")</f>
        <v>#VALUE!</v>
      </c>
      <c r="GH6" t="e">
        <f>AND(List1!AC48,"AAAAAGfVKr0=")</f>
        <v>#VALUE!</v>
      </c>
      <c r="GI6" t="e">
        <f>AND(List1!AD48,"AAAAAGfVKr4=")</f>
        <v>#VALUE!</v>
      </c>
      <c r="GJ6" t="e">
        <f>AND(List1!AE48,"AAAAAGfVKr8=")</f>
        <v>#VALUE!</v>
      </c>
      <c r="GK6">
        <f>IF(List1!49:49,"AAAAAGfVKsA=",0)</f>
        <v>0</v>
      </c>
      <c r="GL6" t="e">
        <f>AND(List1!A49,"AAAAAGfVKsE=")</f>
        <v>#VALUE!</v>
      </c>
      <c r="GM6" t="e">
        <f>AND(List1!B49,"AAAAAGfVKsI=")</f>
        <v>#VALUE!</v>
      </c>
      <c r="GN6" t="e">
        <f>AND(List1!C49,"AAAAAGfVKsM=")</f>
        <v>#VALUE!</v>
      </c>
      <c r="GO6" t="e">
        <f>AND(List1!D49,"AAAAAGfVKsQ=")</f>
        <v>#VALUE!</v>
      </c>
      <c r="GP6" t="e">
        <f>AND(List1!E49,"AAAAAGfVKsU=")</f>
        <v>#VALUE!</v>
      </c>
      <c r="GQ6" t="e">
        <f>AND(List1!F49,"AAAAAGfVKsY=")</f>
        <v>#VALUE!</v>
      </c>
      <c r="GR6" t="e">
        <f>AND(List1!G49,"AAAAAGfVKsc=")</f>
        <v>#VALUE!</v>
      </c>
      <c r="GS6" t="e">
        <f>AND(List1!H49,"AAAAAGfVKsg=")</f>
        <v>#VALUE!</v>
      </c>
      <c r="GT6" t="e">
        <f>AND(List1!I49,"AAAAAGfVKsk=")</f>
        <v>#VALUE!</v>
      </c>
      <c r="GU6" t="e">
        <f>AND(List1!J49,"AAAAAGfVKso=")</f>
        <v>#VALUE!</v>
      </c>
      <c r="GV6" t="e">
        <f>AND(List1!K49,"AAAAAGfVKss=")</f>
        <v>#VALUE!</v>
      </c>
      <c r="GW6" t="e">
        <f>AND(List1!L49,"AAAAAGfVKsw=")</f>
        <v>#VALUE!</v>
      </c>
      <c r="GX6" t="e">
        <f>AND(List1!M49,"AAAAAGfVKs0=")</f>
        <v>#VALUE!</v>
      </c>
      <c r="GY6" t="e">
        <f>AND(List1!N49,"AAAAAGfVKs4=")</f>
        <v>#VALUE!</v>
      </c>
      <c r="GZ6" t="e">
        <f>AND(List1!O49,"AAAAAGfVKs8=")</f>
        <v>#VALUE!</v>
      </c>
      <c r="HA6" t="e">
        <f>AND(List1!P49,"AAAAAGfVKtA=")</f>
        <v>#VALUE!</v>
      </c>
      <c r="HB6" t="e">
        <f>AND(List1!Q49,"AAAAAGfVKtE=")</f>
        <v>#VALUE!</v>
      </c>
      <c r="HC6" t="e">
        <f>AND(List1!R49,"AAAAAGfVKtI=")</f>
        <v>#VALUE!</v>
      </c>
      <c r="HD6" t="e">
        <f>AND(List1!S49,"AAAAAGfVKtM=")</f>
        <v>#VALUE!</v>
      </c>
      <c r="HE6" t="e">
        <f>AND(List1!T49,"AAAAAGfVKtQ=")</f>
        <v>#VALUE!</v>
      </c>
      <c r="HF6" t="e">
        <f>AND(List1!U49,"AAAAAGfVKtU=")</f>
        <v>#VALUE!</v>
      </c>
      <c r="HG6" t="e">
        <f>AND(List1!V49,"AAAAAGfVKtY=")</f>
        <v>#VALUE!</v>
      </c>
      <c r="HH6" t="e">
        <f>AND(List1!W49,"AAAAAGfVKtc=")</f>
        <v>#VALUE!</v>
      </c>
      <c r="HI6" t="e">
        <f>AND(List1!X49,"AAAAAGfVKtg=")</f>
        <v>#VALUE!</v>
      </c>
      <c r="HJ6" t="e">
        <f>AND(List1!Y49,"AAAAAGfVKtk=")</f>
        <v>#VALUE!</v>
      </c>
      <c r="HK6" t="e">
        <f>AND(List1!Z49,"AAAAAGfVKto=")</f>
        <v>#VALUE!</v>
      </c>
      <c r="HL6" t="e">
        <f>AND(List1!AA49,"AAAAAGfVKts=")</f>
        <v>#VALUE!</v>
      </c>
      <c r="HM6" t="e">
        <f>AND(List1!AB49,"AAAAAGfVKtw=")</f>
        <v>#VALUE!</v>
      </c>
      <c r="HN6" t="e">
        <f>AND(List1!AC49,"AAAAAGfVKt0=")</f>
        <v>#VALUE!</v>
      </c>
      <c r="HO6" t="e">
        <f>AND(List1!AD49,"AAAAAGfVKt4=")</f>
        <v>#VALUE!</v>
      </c>
      <c r="HP6" t="e">
        <f>AND(List1!AE49,"AAAAAGfVKt8=")</f>
        <v>#VALUE!</v>
      </c>
      <c r="HQ6">
        <f>IF(List1!50:50,"AAAAAGfVKuA=",0)</f>
        <v>0</v>
      </c>
      <c r="HR6" t="e">
        <f>AND(List1!A50,"AAAAAGfVKuE=")</f>
        <v>#VALUE!</v>
      </c>
      <c r="HS6" t="e">
        <f>AND(List1!B50,"AAAAAGfVKuI=")</f>
        <v>#VALUE!</v>
      </c>
      <c r="HT6" t="e">
        <f>AND(List1!C50,"AAAAAGfVKuM=")</f>
        <v>#VALUE!</v>
      </c>
      <c r="HU6" t="e">
        <f>AND(List1!D50,"AAAAAGfVKuQ=")</f>
        <v>#VALUE!</v>
      </c>
      <c r="HV6" t="e">
        <f>AND(List1!E50,"AAAAAGfVKuU=")</f>
        <v>#VALUE!</v>
      </c>
      <c r="HW6" t="e">
        <f>AND(List1!F50,"AAAAAGfVKuY=")</f>
        <v>#VALUE!</v>
      </c>
      <c r="HX6" t="e">
        <f>AND(List1!G50,"AAAAAGfVKuc=")</f>
        <v>#VALUE!</v>
      </c>
      <c r="HY6" t="e">
        <f>AND(List1!H50,"AAAAAGfVKug=")</f>
        <v>#VALUE!</v>
      </c>
      <c r="HZ6" t="e">
        <f>AND(List1!I50,"AAAAAGfVKuk=")</f>
        <v>#VALUE!</v>
      </c>
      <c r="IA6" t="e">
        <f>AND(List1!J50,"AAAAAGfVKuo=")</f>
        <v>#VALUE!</v>
      </c>
      <c r="IB6" t="e">
        <f>AND(List1!K50,"AAAAAGfVKus=")</f>
        <v>#VALUE!</v>
      </c>
      <c r="IC6" t="e">
        <f>AND(List1!L50,"AAAAAGfVKuw=")</f>
        <v>#VALUE!</v>
      </c>
      <c r="ID6" t="e">
        <f>AND(List1!M50,"AAAAAGfVKu0=")</f>
        <v>#VALUE!</v>
      </c>
      <c r="IE6" t="e">
        <f>AND(List1!N50,"AAAAAGfVKu4=")</f>
        <v>#VALUE!</v>
      </c>
      <c r="IF6" t="e">
        <f>AND(List1!O50,"AAAAAGfVKu8=")</f>
        <v>#VALUE!</v>
      </c>
      <c r="IG6" t="e">
        <f>AND(List1!P50,"AAAAAGfVKvA=")</f>
        <v>#VALUE!</v>
      </c>
      <c r="IH6" t="e">
        <f>AND(List1!Q50,"AAAAAGfVKvE=")</f>
        <v>#VALUE!</v>
      </c>
      <c r="II6" t="e">
        <f>AND(List1!R50,"AAAAAGfVKvI=")</f>
        <v>#VALUE!</v>
      </c>
      <c r="IJ6" t="e">
        <f>AND(List1!S50,"AAAAAGfVKvM=")</f>
        <v>#VALUE!</v>
      </c>
      <c r="IK6" t="e">
        <f>AND(List1!T50,"AAAAAGfVKvQ=")</f>
        <v>#VALUE!</v>
      </c>
      <c r="IL6" t="e">
        <f>AND(List1!U50,"AAAAAGfVKvU=")</f>
        <v>#VALUE!</v>
      </c>
      <c r="IM6" t="e">
        <f>AND(List1!V50,"AAAAAGfVKvY=")</f>
        <v>#VALUE!</v>
      </c>
      <c r="IN6" t="e">
        <f>AND(List1!W50,"AAAAAGfVKvc=")</f>
        <v>#VALUE!</v>
      </c>
      <c r="IO6" t="e">
        <f>AND(List1!X50,"AAAAAGfVKvg=")</f>
        <v>#VALUE!</v>
      </c>
      <c r="IP6" t="e">
        <f>AND(List1!Y50,"AAAAAGfVKvk=")</f>
        <v>#VALUE!</v>
      </c>
      <c r="IQ6" t="e">
        <f>AND(List1!Z50,"AAAAAGfVKvo=")</f>
        <v>#VALUE!</v>
      </c>
      <c r="IR6" t="e">
        <f>AND(List1!AA50,"AAAAAGfVKvs=")</f>
        <v>#VALUE!</v>
      </c>
      <c r="IS6" t="e">
        <f>AND(List1!AB50,"AAAAAGfVKvw=")</f>
        <v>#VALUE!</v>
      </c>
      <c r="IT6" t="e">
        <f>AND(List1!AC50,"AAAAAGfVKv0=")</f>
        <v>#VALUE!</v>
      </c>
      <c r="IU6" t="e">
        <f>AND(List1!AD50,"AAAAAGfVKv4=")</f>
        <v>#VALUE!</v>
      </c>
      <c r="IV6" t="e">
        <f>AND(List1!AE50,"AAAAAGfVKv8=")</f>
        <v>#VALUE!</v>
      </c>
    </row>
    <row r="7" spans="1:256" x14ac:dyDescent="0.25">
      <c r="A7">
        <f>IF(List1!51:51,"AAAAAE25rwA=",0)</f>
        <v>0</v>
      </c>
      <c r="B7" t="e">
        <f>AND(List1!A51,"AAAAAE25rwE=")</f>
        <v>#VALUE!</v>
      </c>
      <c r="C7" t="b">
        <f>AND(List1!B51,"AAAAAE25rwI=")</f>
        <v>1</v>
      </c>
      <c r="D7" t="e">
        <f>AND(List1!C51,"AAAAAE25rwM=")</f>
        <v>#VALUE!</v>
      </c>
      <c r="E7" t="e">
        <f>AND(List1!D51,"AAAAAE25rwQ=")</f>
        <v>#VALUE!</v>
      </c>
      <c r="F7" t="e">
        <f>AND(List1!E51,"AAAAAE25rwU=")</f>
        <v>#VALUE!</v>
      </c>
      <c r="G7" t="e">
        <f>AND(List1!F51,"AAAAAE25rwY=")</f>
        <v>#VALUE!</v>
      </c>
      <c r="H7" t="e">
        <f>AND(List1!G51,"AAAAAE25rwc=")</f>
        <v>#VALUE!</v>
      </c>
      <c r="I7" t="e">
        <f>AND(List1!H51,"AAAAAE25rwg=")</f>
        <v>#VALUE!</v>
      </c>
      <c r="J7" t="e">
        <f>AND(List1!I51,"AAAAAE25rwk=")</f>
        <v>#VALUE!</v>
      </c>
      <c r="K7" t="e">
        <f>AND(List1!J51,"AAAAAE25rwo=")</f>
        <v>#VALUE!</v>
      </c>
      <c r="L7" t="e">
        <f>AND(List1!K51,"AAAAAE25rws=")</f>
        <v>#VALUE!</v>
      </c>
      <c r="M7" t="e">
        <f>AND(List1!L51,"AAAAAE25rww=")</f>
        <v>#VALUE!</v>
      </c>
      <c r="N7" t="e">
        <f>AND(List1!M51,"AAAAAE25rw0=")</f>
        <v>#VALUE!</v>
      </c>
      <c r="O7" t="e">
        <f>AND(List1!N51,"AAAAAE25rw4=")</f>
        <v>#VALUE!</v>
      </c>
      <c r="P7" t="e">
        <f>AND(List1!O51,"AAAAAE25rw8=")</f>
        <v>#VALUE!</v>
      </c>
      <c r="Q7" t="e">
        <f>AND(List1!P51,"AAAAAE25rxA=")</f>
        <v>#VALUE!</v>
      </c>
      <c r="R7" t="e">
        <f>AND(List1!Q51,"AAAAAE25rxE=")</f>
        <v>#VALUE!</v>
      </c>
      <c r="S7" t="e">
        <f>AND(List1!R51,"AAAAAE25rxI=")</f>
        <v>#VALUE!</v>
      </c>
      <c r="T7" t="e">
        <f>AND(List1!S51,"AAAAAE25rxM=")</f>
        <v>#VALUE!</v>
      </c>
      <c r="U7" t="e">
        <f>AND(List1!T51,"AAAAAE25rxQ=")</f>
        <v>#VALUE!</v>
      </c>
      <c r="V7" t="e">
        <f>AND(List1!U51,"AAAAAE25rxU=")</f>
        <v>#VALUE!</v>
      </c>
      <c r="W7" t="e">
        <f>AND(List1!V51,"AAAAAE25rxY=")</f>
        <v>#VALUE!</v>
      </c>
      <c r="X7" t="e">
        <f>AND(List1!W51,"AAAAAE25rxc=")</f>
        <v>#VALUE!</v>
      </c>
      <c r="Y7" t="e">
        <f>AND(List1!X51,"AAAAAE25rxg=")</f>
        <v>#VALUE!</v>
      </c>
      <c r="Z7" t="e">
        <f>AND(List1!Y51,"AAAAAE25rxk=")</f>
        <v>#VALUE!</v>
      </c>
      <c r="AA7" t="e">
        <f>AND(List1!Z51,"AAAAAE25rxo=")</f>
        <v>#VALUE!</v>
      </c>
      <c r="AB7" t="e">
        <f>AND(List1!AA51,"AAAAAE25rxs=")</f>
        <v>#VALUE!</v>
      </c>
      <c r="AC7" t="e">
        <f>AND(List1!AB51,"AAAAAE25rxw=")</f>
        <v>#VALUE!</v>
      </c>
      <c r="AD7" t="e">
        <f>AND(List1!AC51,"AAAAAE25rx0=")</f>
        <v>#VALUE!</v>
      </c>
      <c r="AE7" t="e">
        <f>AND(List1!AD51,"AAAAAE25rx4=")</f>
        <v>#VALUE!</v>
      </c>
      <c r="AF7" t="e">
        <f>AND(List1!AE51,"AAAAAE25rx8=")</f>
        <v>#VALUE!</v>
      </c>
      <c r="AG7">
        <f>IF(List1!52:52,"AAAAAE25ryA=",0)</f>
        <v>0</v>
      </c>
      <c r="AH7" t="e">
        <f>AND(List1!A52,"AAAAAE25ryE=")</f>
        <v>#VALUE!</v>
      </c>
      <c r="AI7" t="b">
        <f>AND(List1!B52,"AAAAAE25ryI=")</f>
        <v>1</v>
      </c>
      <c r="AJ7" t="e">
        <f>AND(List1!C52,"AAAAAE25ryM=")</f>
        <v>#VALUE!</v>
      </c>
      <c r="AK7" t="e">
        <f>AND(List1!D52,"AAAAAE25ryQ=")</f>
        <v>#VALUE!</v>
      </c>
      <c r="AL7" t="e">
        <f>AND(List1!E52,"AAAAAE25ryU=")</f>
        <v>#VALUE!</v>
      </c>
      <c r="AM7" t="e">
        <f>AND(List1!F52,"AAAAAE25ryY=")</f>
        <v>#VALUE!</v>
      </c>
      <c r="AN7" t="e">
        <f>AND(List1!G52,"AAAAAE25ryc=")</f>
        <v>#VALUE!</v>
      </c>
      <c r="AO7" t="e">
        <f>AND(List1!H52,"AAAAAE25ryg=")</f>
        <v>#VALUE!</v>
      </c>
      <c r="AP7" t="e">
        <f>AND(List1!I52,"AAAAAE25ryk=")</f>
        <v>#VALUE!</v>
      </c>
      <c r="AQ7" t="e">
        <f>AND(List1!J52,"AAAAAE25ryo=")</f>
        <v>#VALUE!</v>
      </c>
      <c r="AR7" t="e">
        <f>AND(List1!K52,"AAAAAE25rys=")</f>
        <v>#VALUE!</v>
      </c>
      <c r="AS7" t="e">
        <f>AND(List1!L52,"AAAAAE25ryw=")</f>
        <v>#VALUE!</v>
      </c>
      <c r="AT7" t="e">
        <f>AND(List1!M52,"AAAAAE25ry0=")</f>
        <v>#VALUE!</v>
      </c>
      <c r="AU7" t="e">
        <f>AND(List1!N52,"AAAAAE25ry4=")</f>
        <v>#VALUE!</v>
      </c>
      <c r="AV7" t="e">
        <f>AND(List1!O52,"AAAAAE25ry8=")</f>
        <v>#VALUE!</v>
      </c>
      <c r="AW7" t="e">
        <f>AND(List1!P52,"AAAAAE25rzA=")</f>
        <v>#VALUE!</v>
      </c>
      <c r="AX7" t="e">
        <f>AND(List1!Q52,"AAAAAE25rzE=")</f>
        <v>#VALUE!</v>
      </c>
      <c r="AY7" t="e">
        <f>AND(List1!R52,"AAAAAE25rzI=")</f>
        <v>#VALUE!</v>
      </c>
      <c r="AZ7" t="e">
        <f>AND(List1!S52,"AAAAAE25rzM=")</f>
        <v>#VALUE!</v>
      </c>
      <c r="BA7" t="e">
        <f>AND(List1!T52,"AAAAAE25rzQ=")</f>
        <v>#VALUE!</v>
      </c>
      <c r="BB7" t="e">
        <f>AND(List1!U52,"AAAAAE25rzU=")</f>
        <v>#VALUE!</v>
      </c>
      <c r="BC7" t="e">
        <f>AND(List1!V52,"AAAAAE25rzY=")</f>
        <v>#VALUE!</v>
      </c>
      <c r="BD7" t="e">
        <f>AND(List1!W52,"AAAAAE25rzc=")</f>
        <v>#VALUE!</v>
      </c>
      <c r="BE7" t="e">
        <f>AND(List1!X52,"AAAAAE25rzg=")</f>
        <v>#VALUE!</v>
      </c>
      <c r="BF7" t="e">
        <f>AND(List1!Y52,"AAAAAE25rzk=")</f>
        <v>#VALUE!</v>
      </c>
      <c r="BG7" t="e">
        <f>AND(List1!Z52,"AAAAAE25rzo=")</f>
        <v>#VALUE!</v>
      </c>
      <c r="BH7" t="e">
        <f>AND(List1!AA52,"AAAAAE25rzs=")</f>
        <v>#VALUE!</v>
      </c>
      <c r="BI7" t="e">
        <f>AND(List1!AB52,"AAAAAE25rzw=")</f>
        <v>#VALUE!</v>
      </c>
      <c r="BJ7" t="e">
        <f>AND(List1!AC52,"AAAAAE25rz0=")</f>
        <v>#VALUE!</v>
      </c>
      <c r="BK7" t="e">
        <f>AND(List1!AD52,"AAAAAE25rz4=")</f>
        <v>#VALUE!</v>
      </c>
      <c r="BL7" t="e">
        <f>AND(List1!AE52,"AAAAAE25rz8=")</f>
        <v>#VALUE!</v>
      </c>
      <c r="BM7">
        <f>IF(List1!53:53,"AAAAAE25r0A=",0)</f>
        <v>0</v>
      </c>
      <c r="BN7" t="e">
        <f>AND(List1!A53,"AAAAAE25r0E=")</f>
        <v>#VALUE!</v>
      </c>
      <c r="BO7" t="b">
        <f>AND(List1!B53,"AAAAAE25r0I=")</f>
        <v>1</v>
      </c>
      <c r="BP7" t="e">
        <f>AND(List1!C53,"AAAAAE25r0M=")</f>
        <v>#VALUE!</v>
      </c>
      <c r="BQ7" t="e">
        <f>AND(List1!D53,"AAAAAE25r0Q=")</f>
        <v>#VALUE!</v>
      </c>
      <c r="BR7" t="e">
        <f>AND(List1!E53,"AAAAAE25r0U=")</f>
        <v>#VALUE!</v>
      </c>
      <c r="BS7" t="e">
        <f>AND(List1!F53,"AAAAAE25r0Y=")</f>
        <v>#VALUE!</v>
      </c>
      <c r="BT7" t="e">
        <f>AND(List1!G53,"AAAAAE25r0c=")</f>
        <v>#VALUE!</v>
      </c>
      <c r="BU7" t="e">
        <f>AND(List1!H53,"AAAAAE25r0g=")</f>
        <v>#VALUE!</v>
      </c>
      <c r="BV7" t="e">
        <f>AND(List1!I53,"AAAAAE25r0k=")</f>
        <v>#VALUE!</v>
      </c>
      <c r="BW7" t="e">
        <f>AND(List1!J53,"AAAAAE25r0o=")</f>
        <v>#VALUE!</v>
      </c>
      <c r="BX7" t="e">
        <f>AND(List1!K53,"AAAAAE25r0s=")</f>
        <v>#VALUE!</v>
      </c>
      <c r="BY7" t="e">
        <f>AND(List1!L53,"AAAAAE25r0w=")</f>
        <v>#VALUE!</v>
      </c>
      <c r="BZ7" t="e">
        <f>AND(List1!M53,"AAAAAE25r00=")</f>
        <v>#VALUE!</v>
      </c>
      <c r="CA7" t="e">
        <f>AND(List1!N53,"AAAAAE25r04=")</f>
        <v>#VALUE!</v>
      </c>
      <c r="CB7" t="e">
        <f>AND(List1!O53,"AAAAAE25r08=")</f>
        <v>#VALUE!</v>
      </c>
      <c r="CC7" t="e">
        <f>AND(List1!P53,"AAAAAE25r1A=")</f>
        <v>#VALUE!</v>
      </c>
      <c r="CD7" t="e">
        <f>AND(List1!Q53,"AAAAAE25r1E=")</f>
        <v>#VALUE!</v>
      </c>
      <c r="CE7" t="e">
        <f>AND(List1!R53,"AAAAAE25r1I=")</f>
        <v>#VALUE!</v>
      </c>
      <c r="CF7" t="e">
        <f>AND(List1!S53,"AAAAAE25r1M=")</f>
        <v>#VALUE!</v>
      </c>
      <c r="CG7" t="e">
        <f>AND(List1!T53,"AAAAAE25r1Q=")</f>
        <v>#VALUE!</v>
      </c>
      <c r="CH7" t="e">
        <f>AND(List1!U53,"AAAAAE25r1U=")</f>
        <v>#VALUE!</v>
      </c>
      <c r="CI7" t="e">
        <f>AND(List1!V53,"AAAAAE25r1Y=")</f>
        <v>#VALUE!</v>
      </c>
      <c r="CJ7" t="e">
        <f>AND(List1!W53,"AAAAAE25r1c=")</f>
        <v>#VALUE!</v>
      </c>
      <c r="CK7" t="e">
        <f>AND(List1!X53,"AAAAAE25r1g=")</f>
        <v>#VALUE!</v>
      </c>
      <c r="CL7" t="e">
        <f>AND(List1!Y53,"AAAAAE25r1k=")</f>
        <v>#VALUE!</v>
      </c>
      <c r="CM7" t="e">
        <f>AND(List1!Z53,"AAAAAE25r1o=")</f>
        <v>#VALUE!</v>
      </c>
      <c r="CN7" t="e">
        <f>AND(List1!AA53,"AAAAAE25r1s=")</f>
        <v>#VALUE!</v>
      </c>
      <c r="CO7" t="e">
        <f>AND(List1!AB53,"AAAAAE25r1w=")</f>
        <v>#VALUE!</v>
      </c>
      <c r="CP7" t="e">
        <f>AND(List1!AC53,"AAAAAE25r10=")</f>
        <v>#VALUE!</v>
      </c>
      <c r="CQ7" t="e">
        <f>AND(List1!AD53,"AAAAAE25r14=")</f>
        <v>#VALUE!</v>
      </c>
      <c r="CR7" t="e">
        <f>AND(List1!AE53,"AAAAAE25r18=")</f>
        <v>#VALUE!</v>
      </c>
      <c r="CS7">
        <f>IF(List1!54:54,"AAAAAE25r2A=",0)</f>
        <v>0</v>
      </c>
      <c r="CT7" t="e">
        <f>AND(List1!A54,"AAAAAE25r2E=")</f>
        <v>#VALUE!</v>
      </c>
      <c r="CU7" t="b">
        <f>AND(List1!B54,"AAAAAE25r2I=")</f>
        <v>1</v>
      </c>
      <c r="CV7" t="e">
        <f>AND(List1!C54,"AAAAAE25r2M=")</f>
        <v>#VALUE!</v>
      </c>
      <c r="CW7" t="e">
        <f>AND(List1!D54,"AAAAAE25r2Q=")</f>
        <v>#VALUE!</v>
      </c>
      <c r="CX7" t="e">
        <f>AND(List1!E54,"AAAAAE25r2U=")</f>
        <v>#VALUE!</v>
      </c>
      <c r="CY7" t="e">
        <f>AND(List1!F54,"AAAAAE25r2Y=")</f>
        <v>#VALUE!</v>
      </c>
      <c r="CZ7" t="e">
        <f>AND(List1!G54,"AAAAAE25r2c=")</f>
        <v>#VALUE!</v>
      </c>
      <c r="DA7" t="e">
        <f>AND(List1!H54,"AAAAAE25r2g=")</f>
        <v>#VALUE!</v>
      </c>
      <c r="DB7" t="e">
        <f>AND(List1!I54,"AAAAAE25r2k=")</f>
        <v>#VALUE!</v>
      </c>
      <c r="DC7" t="e">
        <f>AND(List1!J54,"AAAAAE25r2o=")</f>
        <v>#VALUE!</v>
      </c>
      <c r="DD7" t="e">
        <f>AND(List1!K54,"AAAAAE25r2s=")</f>
        <v>#VALUE!</v>
      </c>
      <c r="DE7" t="e">
        <f>AND(List1!L54,"AAAAAE25r2w=")</f>
        <v>#VALUE!</v>
      </c>
      <c r="DF7" t="e">
        <f>AND(List1!M54,"AAAAAE25r20=")</f>
        <v>#VALUE!</v>
      </c>
      <c r="DG7" t="e">
        <f>AND(List1!N54,"AAAAAE25r24=")</f>
        <v>#VALUE!</v>
      </c>
      <c r="DH7" t="e">
        <f>AND(List1!O54,"AAAAAE25r28=")</f>
        <v>#VALUE!</v>
      </c>
      <c r="DI7" t="e">
        <f>AND(List1!P54,"AAAAAE25r3A=")</f>
        <v>#VALUE!</v>
      </c>
      <c r="DJ7" t="e">
        <f>AND(List1!Q54,"AAAAAE25r3E=")</f>
        <v>#VALUE!</v>
      </c>
      <c r="DK7" t="e">
        <f>AND(List1!R54,"AAAAAE25r3I=")</f>
        <v>#VALUE!</v>
      </c>
      <c r="DL7" t="e">
        <f>AND(List1!S54,"AAAAAE25r3M=")</f>
        <v>#VALUE!</v>
      </c>
      <c r="DM7" t="e">
        <f>AND(List1!T54,"AAAAAE25r3Q=")</f>
        <v>#VALUE!</v>
      </c>
      <c r="DN7" t="e">
        <f>AND(List1!U54,"AAAAAE25r3U=")</f>
        <v>#VALUE!</v>
      </c>
      <c r="DO7" t="e">
        <f>AND(List1!V54,"AAAAAE25r3Y=")</f>
        <v>#VALUE!</v>
      </c>
      <c r="DP7" t="e">
        <f>AND(List1!W54,"AAAAAE25r3c=")</f>
        <v>#VALUE!</v>
      </c>
      <c r="DQ7" t="e">
        <f>AND(List1!X54,"AAAAAE25r3g=")</f>
        <v>#VALUE!</v>
      </c>
      <c r="DR7" t="e">
        <f>AND(List1!Y54,"AAAAAE25r3k=")</f>
        <v>#VALUE!</v>
      </c>
      <c r="DS7" t="e">
        <f>AND(List1!Z54,"AAAAAE25r3o=")</f>
        <v>#VALUE!</v>
      </c>
      <c r="DT7" t="e">
        <f>AND(List1!AA54,"AAAAAE25r3s=")</f>
        <v>#VALUE!</v>
      </c>
      <c r="DU7" t="e">
        <f>AND(List1!AB54,"AAAAAE25r3w=")</f>
        <v>#VALUE!</v>
      </c>
      <c r="DV7" t="e">
        <f>AND(List1!AC54,"AAAAAE25r30=")</f>
        <v>#VALUE!</v>
      </c>
      <c r="DW7" t="e">
        <f>AND(List1!AD54,"AAAAAE25r34=")</f>
        <v>#VALUE!</v>
      </c>
      <c r="DX7" t="e">
        <f>AND(List1!AE54,"AAAAAE25r38=")</f>
        <v>#VALUE!</v>
      </c>
      <c r="DY7">
        <f>IF(List1!55:55,"AAAAAE25r4A=",0)</f>
        <v>0</v>
      </c>
      <c r="DZ7" t="e">
        <f>AND(List1!A55,"AAAAAE25r4E=")</f>
        <v>#VALUE!</v>
      </c>
      <c r="EA7" t="e">
        <f>AND(List1!B55,"AAAAAE25r4I=")</f>
        <v>#VALUE!</v>
      </c>
      <c r="EB7" t="e">
        <f>AND(List1!C55,"AAAAAE25r4M=")</f>
        <v>#VALUE!</v>
      </c>
      <c r="EC7" t="e">
        <f>AND(List1!D55,"AAAAAE25r4Q=")</f>
        <v>#VALUE!</v>
      </c>
      <c r="ED7" t="e">
        <f>AND(List1!E55,"AAAAAE25r4U=")</f>
        <v>#VALUE!</v>
      </c>
      <c r="EE7" t="e">
        <f>AND(List1!F55,"AAAAAE25r4Y=")</f>
        <v>#VALUE!</v>
      </c>
      <c r="EF7" t="e">
        <f>AND(List1!G55,"AAAAAE25r4c=")</f>
        <v>#VALUE!</v>
      </c>
      <c r="EG7" t="e">
        <f>AND(List1!H55,"AAAAAE25r4g=")</f>
        <v>#VALUE!</v>
      </c>
      <c r="EH7" t="e">
        <f>AND(List1!I55,"AAAAAE25r4k=")</f>
        <v>#VALUE!</v>
      </c>
      <c r="EI7" t="e">
        <f>AND(List1!J55,"AAAAAE25r4o=")</f>
        <v>#VALUE!</v>
      </c>
      <c r="EJ7" t="e">
        <f>AND(List1!K55,"AAAAAE25r4s=")</f>
        <v>#VALUE!</v>
      </c>
      <c r="EK7" t="e">
        <f>AND(List1!L55,"AAAAAE25r4w=")</f>
        <v>#VALUE!</v>
      </c>
      <c r="EL7" t="e">
        <f>AND(List1!M55,"AAAAAE25r40=")</f>
        <v>#VALUE!</v>
      </c>
      <c r="EM7" t="e">
        <f>AND(List1!N55,"AAAAAE25r44=")</f>
        <v>#VALUE!</v>
      </c>
      <c r="EN7" t="e">
        <f>AND(List1!O55,"AAAAAE25r48=")</f>
        <v>#VALUE!</v>
      </c>
      <c r="EO7" t="e">
        <f>AND(List1!P55,"AAAAAE25r5A=")</f>
        <v>#VALUE!</v>
      </c>
      <c r="EP7" t="e">
        <f>AND(List1!Q55,"AAAAAE25r5E=")</f>
        <v>#VALUE!</v>
      </c>
      <c r="EQ7" t="e">
        <f>AND(List1!R55,"AAAAAE25r5I=")</f>
        <v>#VALUE!</v>
      </c>
      <c r="ER7" t="e">
        <f>AND(List1!S55,"AAAAAE25r5M=")</f>
        <v>#VALUE!</v>
      </c>
      <c r="ES7" t="e">
        <f>AND(List1!T55,"AAAAAE25r5Q=")</f>
        <v>#VALUE!</v>
      </c>
      <c r="ET7" t="e">
        <f>AND(List1!U55,"AAAAAE25r5U=")</f>
        <v>#VALUE!</v>
      </c>
      <c r="EU7" t="e">
        <f>AND(List1!V55,"AAAAAE25r5Y=")</f>
        <v>#VALUE!</v>
      </c>
      <c r="EV7" t="e">
        <f>AND(List1!W55,"AAAAAE25r5c=")</f>
        <v>#VALUE!</v>
      </c>
      <c r="EW7" t="e">
        <f>AND(List1!X55,"AAAAAE25r5g=")</f>
        <v>#VALUE!</v>
      </c>
      <c r="EX7" t="e">
        <f>AND(List1!Y55,"AAAAAE25r5k=")</f>
        <v>#VALUE!</v>
      </c>
      <c r="EY7" t="e">
        <f>AND(List1!Z55,"AAAAAE25r5o=")</f>
        <v>#VALUE!</v>
      </c>
      <c r="EZ7" t="e">
        <f>AND(List1!AA55,"AAAAAE25r5s=")</f>
        <v>#VALUE!</v>
      </c>
      <c r="FA7" t="e">
        <f>AND(List1!AB55,"AAAAAE25r5w=")</f>
        <v>#VALUE!</v>
      </c>
      <c r="FB7" t="e">
        <f>AND(List1!AC55,"AAAAAE25r50=")</f>
        <v>#VALUE!</v>
      </c>
      <c r="FC7" t="e">
        <f>AND(List1!AD55,"AAAAAE25r54=")</f>
        <v>#VALUE!</v>
      </c>
      <c r="FD7" t="e">
        <f>AND(List1!AE55,"AAAAAE25r58=")</f>
        <v>#VALUE!</v>
      </c>
      <c r="FE7">
        <f>IF(List1!56:56,"AAAAAE25r6A=",0)</f>
        <v>0</v>
      </c>
      <c r="FF7" t="e">
        <f>AND(List1!A56,"AAAAAE25r6E=")</f>
        <v>#VALUE!</v>
      </c>
      <c r="FG7" t="e">
        <f>AND(List1!B56,"AAAAAE25r6I=")</f>
        <v>#VALUE!</v>
      </c>
      <c r="FH7" t="e">
        <f>AND(List1!C56,"AAAAAE25r6M=")</f>
        <v>#VALUE!</v>
      </c>
      <c r="FI7" t="e">
        <f>AND(List1!D56,"AAAAAE25r6Q=")</f>
        <v>#VALUE!</v>
      </c>
      <c r="FJ7" t="e">
        <f>AND(List1!E56,"AAAAAE25r6U=")</f>
        <v>#VALUE!</v>
      </c>
      <c r="FK7" t="e">
        <f>AND(List1!F56,"AAAAAE25r6Y=")</f>
        <v>#VALUE!</v>
      </c>
      <c r="FL7" t="e">
        <f>AND(List1!G56,"AAAAAE25r6c=")</f>
        <v>#VALUE!</v>
      </c>
      <c r="FM7" t="e">
        <f>AND(List1!H56,"AAAAAE25r6g=")</f>
        <v>#VALUE!</v>
      </c>
      <c r="FN7" t="e">
        <f>AND(List1!I56,"AAAAAE25r6k=")</f>
        <v>#VALUE!</v>
      </c>
      <c r="FO7" t="e">
        <f>AND(List1!J56,"AAAAAE25r6o=")</f>
        <v>#VALUE!</v>
      </c>
      <c r="FP7" t="e">
        <f>AND(List1!K56,"AAAAAE25r6s=")</f>
        <v>#VALUE!</v>
      </c>
      <c r="FQ7" t="e">
        <f>AND(List1!L56,"AAAAAE25r6w=")</f>
        <v>#VALUE!</v>
      </c>
      <c r="FR7" t="e">
        <f>AND(List1!M56,"AAAAAE25r60=")</f>
        <v>#VALUE!</v>
      </c>
      <c r="FS7" t="e">
        <f>AND(List1!N56,"AAAAAE25r64=")</f>
        <v>#VALUE!</v>
      </c>
      <c r="FT7" t="e">
        <f>AND(List1!O56,"AAAAAE25r68=")</f>
        <v>#VALUE!</v>
      </c>
      <c r="FU7" t="e">
        <f>AND(List1!P56,"AAAAAE25r7A=")</f>
        <v>#VALUE!</v>
      </c>
      <c r="FV7" t="e">
        <f>AND(List1!Q56,"AAAAAE25r7E=")</f>
        <v>#VALUE!</v>
      </c>
      <c r="FW7" t="e">
        <f>AND(List1!R56,"AAAAAE25r7I=")</f>
        <v>#VALUE!</v>
      </c>
      <c r="FX7" t="e">
        <f>AND(List1!S56,"AAAAAE25r7M=")</f>
        <v>#VALUE!</v>
      </c>
      <c r="FY7" t="e">
        <f>AND(List1!T56,"AAAAAE25r7Q=")</f>
        <v>#VALUE!</v>
      </c>
      <c r="FZ7" t="e">
        <f>AND(List1!U56,"AAAAAE25r7U=")</f>
        <v>#VALUE!</v>
      </c>
      <c r="GA7" t="e">
        <f>AND(List1!V56,"AAAAAE25r7Y=")</f>
        <v>#VALUE!</v>
      </c>
      <c r="GB7" t="e">
        <f>AND(List1!W56,"AAAAAE25r7c=")</f>
        <v>#VALUE!</v>
      </c>
      <c r="GC7" t="e">
        <f>AND(List1!X56,"AAAAAE25r7g=")</f>
        <v>#VALUE!</v>
      </c>
      <c r="GD7" t="e">
        <f>AND(List1!Y56,"AAAAAE25r7k=")</f>
        <v>#VALUE!</v>
      </c>
      <c r="GE7" t="e">
        <f>AND(List1!Z56,"AAAAAE25r7o=")</f>
        <v>#VALUE!</v>
      </c>
      <c r="GF7" t="e">
        <f>AND(List1!AA56,"AAAAAE25r7s=")</f>
        <v>#VALUE!</v>
      </c>
      <c r="GG7" t="e">
        <f>AND(List1!AB56,"AAAAAE25r7w=")</f>
        <v>#VALUE!</v>
      </c>
      <c r="GH7" t="e">
        <f>AND(List1!AC56,"AAAAAE25r70=")</f>
        <v>#VALUE!</v>
      </c>
      <c r="GI7" t="e">
        <f>AND(List1!AD56,"AAAAAE25r74=")</f>
        <v>#VALUE!</v>
      </c>
      <c r="GJ7" t="e">
        <f>AND(List1!AE56,"AAAAAE25r78=")</f>
        <v>#VALUE!</v>
      </c>
      <c r="GK7">
        <f>IF(List1!57:57,"AAAAAE25r8A=",0)</f>
        <v>0</v>
      </c>
      <c r="GL7" t="e">
        <f>AND(List1!A57,"AAAAAE25r8E=")</f>
        <v>#VALUE!</v>
      </c>
      <c r="GM7" t="e">
        <f>AND(List1!B57,"AAAAAE25r8I=")</f>
        <v>#VALUE!</v>
      </c>
      <c r="GN7" t="e">
        <f>AND(List1!C57,"AAAAAE25r8M=")</f>
        <v>#VALUE!</v>
      </c>
      <c r="GO7" t="e">
        <f>AND(List1!D57,"AAAAAE25r8Q=")</f>
        <v>#VALUE!</v>
      </c>
      <c r="GP7" t="e">
        <f>AND(List1!E57,"AAAAAE25r8U=")</f>
        <v>#VALUE!</v>
      </c>
      <c r="GQ7" t="e">
        <f>AND(List1!F57,"AAAAAE25r8Y=")</f>
        <v>#VALUE!</v>
      </c>
      <c r="GR7" t="e">
        <f>AND(List1!G57,"AAAAAE25r8c=")</f>
        <v>#VALUE!</v>
      </c>
      <c r="GS7" t="e">
        <f>AND(List1!H57,"AAAAAE25r8g=")</f>
        <v>#VALUE!</v>
      </c>
      <c r="GT7" t="e">
        <f>AND(List1!I57,"AAAAAE25r8k=")</f>
        <v>#VALUE!</v>
      </c>
      <c r="GU7" t="e">
        <f>AND(List1!J57,"AAAAAE25r8o=")</f>
        <v>#VALUE!</v>
      </c>
      <c r="GV7" t="e">
        <f>AND(List1!K57,"AAAAAE25r8s=")</f>
        <v>#VALUE!</v>
      </c>
      <c r="GW7" t="e">
        <f>AND(List1!L57,"AAAAAE25r8w=")</f>
        <v>#VALUE!</v>
      </c>
      <c r="GX7" t="e">
        <f>AND(List1!M57,"AAAAAE25r80=")</f>
        <v>#VALUE!</v>
      </c>
      <c r="GY7" t="e">
        <f>AND(List1!N57,"AAAAAE25r84=")</f>
        <v>#VALUE!</v>
      </c>
      <c r="GZ7" t="e">
        <f>AND(List1!O57,"AAAAAE25r88=")</f>
        <v>#VALUE!</v>
      </c>
      <c r="HA7" t="e">
        <f>AND(List1!P57,"AAAAAE25r9A=")</f>
        <v>#VALUE!</v>
      </c>
      <c r="HB7" t="e">
        <f>AND(List1!Q57,"AAAAAE25r9E=")</f>
        <v>#VALUE!</v>
      </c>
      <c r="HC7" t="e">
        <f>AND(List1!R57,"AAAAAE25r9I=")</f>
        <v>#VALUE!</v>
      </c>
      <c r="HD7" t="e">
        <f>AND(List1!S57,"AAAAAE25r9M=")</f>
        <v>#VALUE!</v>
      </c>
      <c r="HE7" t="e">
        <f>AND(List1!T57,"AAAAAE25r9Q=")</f>
        <v>#VALUE!</v>
      </c>
      <c r="HF7" t="e">
        <f>AND(List1!U57,"AAAAAE25r9U=")</f>
        <v>#VALUE!</v>
      </c>
      <c r="HG7" t="e">
        <f>AND(List1!V57,"AAAAAE25r9Y=")</f>
        <v>#VALUE!</v>
      </c>
      <c r="HH7" t="e">
        <f>AND(List1!W57,"AAAAAE25r9c=")</f>
        <v>#VALUE!</v>
      </c>
      <c r="HI7" t="e">
        <f>AND(List1!X57,"AAAAAE25r9g=")</f>
        <v>#VALUE!</v>
      </c>
      <c r="HJ7" t="e">
        <f>AND(List1!Y57,"AAAAAE25r9k=")</f>
        <v>#VALUE!</v>
      </c>
      <c r="HK7" t="e">
        <f>AND(List1!Z57,"AAAAAE25r9o=")</f>
        <v>#VALUE!</v>
      </c>
      <c r="HL7" t="e">
        <f>AND(List1!AA57,"AAAAAE25r9s=")</f>
        <v>#VALUE!</v>
      </c>
      <c r="HM7" t="e">
        <f>AND(List1!AB57,"AAAAAE25r9w=")</f>
        <v>#VALUE!</v>
      </c>
      <c r="HN7" t="e">
        <f>AND(List1!AC57,"AAAAAE25r90=")</f>
        <v>#VALUE!</v>
      </c>
      <c r="HO7" t="e">
        <f>AND(List1!AD57,"AAAAAE25r94=")</f>
        <v>#VALUE!</v>
      </c>
      <c r="HP7" t="e">
        <f>AND(List1!AE57,"AAAAAE25r98=")</f>
        <v>#VALUE!</v>
      </c>
      <c r="HQ7">
        <f>IF(List1!58:58,"AAAAAE25r+A=",0)</f>
        <v>0</v>
      </c>
      <c r="HR7" t="e">
        <f>AND(List1!A58,"AAAAAE25r+E=")</f>
        <v>#VALUE!</v>
      </c>
      <c r="HS7" t="e">
        <f>AND(List1!B58,"AAAAAE25r+I=")</f>
        <v>#VALUE!</v>
      </c>
      <c r="HT7" t="e">
        <f>AND(List1!C58,"AAAAAE25r+M=")</f>
        <v>#VALUE!</v>
      </c>
      <c r="HU7" t="e">
        <f>AND(List1!D58,"AAAAAE25r+Q=")</f>
        <v>#VALUE!</v>
      </c>
      <c r="HV7" t="e">
        <f>AND(List1!E58,"AAAAAE25r+U=")</f>
        <v>#VALUE!</v>
      </c>
      <c r="HW7" t="e">
        <f>AND(List1!F58,"AAAAAE25r+Y=")</f>
        <v>#VALUE!</v>
      </c>
      <c r="HX7" t="e">
        <f>AND(List1!G58,"AAAAAE25r+c=")</f>
        <v>#VALUE!</v>
      </c>
      <c r="HY7" t="e">
        <f>AND(List1!H58,"AAAAAE25r+g=")</f>
        <v>#VALUE!</v>
      </c>
      <c r="HZ7" t="e">
        <f>AND(List1!I58,"AAAAAE25r+k=")</f>
        <v>#VALUE!</v>
      </c>
      <c r="IA7" t="e">
        <f>AND(List1!J58,"AAAAAE25r+o=")</f>
        <v>#VALUE!</v>
      </c>
      <c r="IB7" t="e">
        <f>AND(List1!K58,"AAAAAE25r+s=")</f>
        <v>#VALUE!</v>
      </c>
      <c r="IC7" t="e">
        <f>AND(List1!L58,"AAAAAE25r+w=")</f>
        <v>#VALUE!</v>
      </c>
      <c r="ID7" t="e">
        <f>AND(List1!M58,"AAAAAE25r+0=")</f>
        <v>#VALUE!</v>
      </c>
      <c r="IE7" t="e">
        <f>AND(List1!N58,"AAAAAE25r+4=")</f>
        <v>#VALUE!</v>
      </c>
      <c r="IF7" t="e">
        <f>AND(List1!O58,"AAAAAE25r+8=")</f>
        <v>#VALUE!</v>
      </c>
      <c r="IG7" t="e">
        <f>AND(List1!P58,"AAAAAE25r/A=")</f>
        <v>#VALUE!</v>
      </c>
      <c r="IH7" t="e">
        <f>AND(List1!Q58,"AAAAAE25r/E=")</f>
        <v>#VALUE!</v>
      </c>
      <c r="II7" t="e">
        <f>AND(List1!R58,"AAAAAE25r/I=")</f>
        <v>#VALUE!</v>
      </c>
      <c r="IJ7" t="e">
        <f>AND(List1!S58,"AAAAAE25r/M=")</f>
        <v>#VALUE!</v>
      </c>
      <c r="IK7" t="e">
        <f>AND(List1!T58,"AAAAAE25r/Q=")</f>
        <v>#VALUE!</v>
      </c>
      <c r="IL7" t="e">
        <f>AND(List1!U58,"AAAAAE25r/U=")</f>
        <v>#VALUE!</v>
      </c>
      <c r="IM7" t="e">
        <f>AND(List1!V58,"AAAAAE25r/Y=")</f>
        <v>#VALUE!</v>
      </c>
      <c r="IN7" t="e">
        <f>AND(List1!W58,"AAAAAE25r/c=")</f>
        <v>#VALUE!</v>
      </c>
      <c r="IO7" t="e">
        <f>AND(List1!X58,"AAAAAE25r/g=")</f>
        <v>#VALUE!</v>
      </c>
      <c r="IP7" t="e">
        <f>AND(List1!Y58,"AAAAAE25r/k=")</f>
        <v>#VALUE!</v>
      </c>
      <c r="IQ7" t="e">
        <f>AND(List1!Z58,"AAAAAE25r/o=")</f>
        <v>#VALUE!</v>
      </c>
      <c r="IR7" t="e">
        <f>AND(List1!AA58,"AAAAAE25r/s=")</f>
        <v>#VALUE!</v>
      </c>
      <c r="IS7" t="e">
        <f>AND(List1!AB58,"AAAAAE25r/w=")</f>
        <v>#VALUE!</v>
      </c>
      <c r="IT7" t="e">
        <f>AND(List1!AC58,"AAAAAE25r/0=")</f>
        <v>#VALUE!</v>
      </c>
      <c r="IU7" t="e">
        <f>AND(List1!AD58,"AAAAAE25r/4=")</f>
        <v>#VALUE!</v>
      </c>
      <c r="IV7" t="e">
        <f>AND(List1!AE58,"AAAAAE25r/8=")</f>
        <v>#VALUE!</v>
      </c>
    </row>
    <row r="8" spans="1:256" x14ac:dyDescent="0.25">
      <c r="A8">
        <f>IF(List1!59:59,"AAAAAHv7nwA=",0)</f>
        <v>0</v>
      </c>
      <c r="B8" t="e">
        <f>AND(List1!A59,"AAAAAHv7nwE=")</f>
        <v>#VALUE!</v>
      </c>
      <c r="C8" t="b">
        <f>AND(List1!B59,"AAAAAHv7nwI=")</f>
        <v>1</v>
      </c>
      <c r="D8" t="e">
        <f>AND(List1!C59,"AAAAAHv7nwM=")</f>
        <v>#VALUE!</v>
      </c>
      <c r="E8" t="e">
        <f>AND(List1!D59,"AAAAAHv7nwQ=")</f>
        <v>#VALUE!</v>
      </c>
      <c r="F8" t="e">
        <f>AND(List1!E59,"AAAAAHv7nwU=")</f>
        <v>#VALUE!</v>
      </c>
      <c r="G8" t="e">
        <f>AND(List1!F59,"AAAAAHv7nwY=")</f>
        <v>#VALUE!</v>
      </c>
      <c r="H8" t="e">
        <f>AND(List1!G59,"AAAAAHv7nwc=")</f>
        <v>#VALUE!</v>
      </c>
      <c r="I8" t="e">
        <f>AND(List1!H59,"AAAAAHv7nwg=")</f>
        <v>#VALUE!</v>
      </c>
      <c r="J8" t="e">
        <f>AND(List1!I59,"AAAAAHv7nwk=")</f>
        <v>#VALUE!</v>
      </c>
      <c r="K8" t="e">
        <f>AND(List1!J59,"AAAAAHv7nwo=")</f>
        <v>#VALUE!</v>
      </c>
      <c r="L8" t="e">
        <f>AND(List1!K59,"AAAAAHv7nws=")</f>
        <v>#VALUE!</v>
      </c>
      <c r="M8" t="e">
        <f>AND(List1!L59,"AAAAAHv7nww=")</f>
        <v>#VALUE!</v>
      </c>
      <c r="N8" t="e">
        <f>AND(List1!M59,"AAAAAHv7nw0=")</f>
        <v>#VALUE!</v>
      </c>
      <c r="O8" t="e">
        <f>AND(List1!N59,"AAAAAHv7nw4=")</f>
        <v>#VALUE!</v>
      </c>
      <c r="P8" t="e">
        <f>AND(List1!O59,"AAAAAHv7nw8=")</f>
        <v>#VALUE!</v>
      </c>
      <c r="Q8" t="e">
        <f>AND(List1!P59,"AAAAAHv7nxA=")</f>
        <v>#VALUE!</v>
      </c>
      <c r="R8" t="e">
        <f>AND(List1!Q59,"AAAAAHv7nxE=")</f>
        <v>#VALUE!</v>
      </c>
      <c r="S8" t="e">
        <f>AND(List1!R59,"AAAAAHv7nxI=")</f>
        <v>#VALUE!</v>
      </c>
      <c r="T8" t="e">
        <f>AND(List1!S59,"AAAAAHv7nxM=")</f>
        <v>#VALUE!</v>
      </c>
      <c r="U8" t="e">
        <f>AND(List1!T59,"AAAAAHv7nxQ=")</f>
        <v>#VALUE!</v>
      </c>
      <c r="V8" t="e">
        <f>AND(List1!U59,"AAAAAHv7nxU=")</f>
        <v>#VALUE!</v>
      </c>
      <c r="W8" t="e">
        <f>AND(List1!V59,"AAAAAHv7nxY=")</f>
        <v>#VALUE!</v>
      </c>
      <c r="X8" t="e">
        <f>AND(List1!W59,"AAAAAHv7nxc=")</f>
        <v>#VALUE!</v>
      </c>
      <c r="Y8" t="e">
        <f>AND(List1!X59,"AAAAAHv7nxg=")</f>
        <v>#VALUE!</v>
      </c>
      <c r="Z8" t="e">
        <f>AND(List1!Y59,"AAAAAHv7nxk=")</f>
        <v>#VALUE!</v>
      </c>
      <c r="AA8" t="e">
        <f>AND(List1!Z59,"AAAAAHv7nxo=")</f>
        <v>#VALUE!</v>
      </c>
      <c r="AB8" t="e">
        <f>AND(List1!AA59,"AAAAAHv7nxs=")</f>
        <v>#VALUE!</v>
      </c>
      <c r="AC8" t="e">
        <f>AND(List1!AB59,"AAAAAHv7nxw=")</f>
        <v>#VALUE!</v>
      </c>
      <c r="AD8" t="e">
        <f>AND(List1!AC59,"AAAAAHv7nx0=")</f>
        <v>#VALUE!</v>
      </c>
      <c r="AE8" t="e">
        <f>AND(List1!AD59,"AAAAAHv7nx4=")</f>
        <v>#VALUE!</v>
      </c>
      <c r="AF8" t="e">
        <f>AND(List1!AE59,"AAAAAHv7nx8=")</f>
        <v>#VALUE!</v>
      </c>
      <c r="AG8">
        <f>IF(List1!60:60,"AAAAAHv7nyA=",0)</f>
        <v>0</v>
      </c>
      <c r="AH8" t="e">
        <f>AND(List1!A60,"AAAAAHv7nyE=")</f>
        <v>#VALUE!</v>
      </c>
      <c r="AI8" t="b">
        <f>AND(List1!B60,"AAAAAHv7nyI=")</f>
        <v>1</v>
      </c>
      <c r="AJ8" t="e">
        <f>AND(List1!C60,"AAAAAHv7nyM=")</f>
        <v>#VALUE!</v>
      </c>
      <c r="AK8" t="e">
        <f>AND(List1!D60,"AAAAAHv7nyQ=")</f>
        <v>#VALUE!</v>
      </c>
      <c r="AL8" t="e">
        <f>AND(List1!E60,"AAAAAHv7nyU=")</f>
        <v>#VALUE!</v>
      </c>
      <c r="AM8" t="e">
        <f>AND(List1!F60,"AAAAAHv7nyY=")</f>
        <v>#VALUE!</v>
      </c>
      <c r="AN8" t="e">
        <f>AND(List1!G60,"AAAAAHv7nyc=")</f>
        <v>#VALUE!</v>
      </c>
      <c r="AO8" t="e">
        <f>AND(List1!H60,"AAAAAHv7nyg=")</f>
        <v>#VALUE!</v>
      </c>
      <c r="AP8" t="e">
        <f>AND(List1!I60,"AAAAAHv7nyk=")</f>
        <v>#VALUE!</v>
      </c>
      <c r="AQ8" t="e">
        <f>AND(List1!J60,"AAAAAHv7nyo=")</f>
        <v>#VALUE!</v>
      </c>
      <c r="AR8" t="e">
        <f>AND(List1!K60,"AAAAAHv7nys=")</f>
        <v>#VALUE!</v>
      </c>
      <c r="AS8" t="e">
        <f>AND(List1!L60,"AAAAAHv7nyw=")</f>
        <v>#VALUE!</v>
      </c>
      <c r="AT8" t="e">
        <f>AND(List1!M60,"AAAAAHv7ny0=")</f>
        <v>#VALUE!</v>
      </c>
      <c r="AU8" t="e">
        <f>AND(List1!N60,"AAAAAHv7ny4=")</f>
        <v>#VALUE!</v>
      </c>
      <c r="AV8" t="e">
        <f>AND(List1!O60,"AAAAAHv7ny8=")</f>
        <v>#VALUE!</v>
      </c>
      <c r="AW8" t="e">
        <f>AND(List1!P60,"AAAAAHv7nzA=")</f>
        <v>#VALUE!</v>
      </c>
      <c r="AX8" t="e">
        <f>AND(List1!Q60,"AAAAAHv7nzE=")</f>
        <v>#VALUE!</v>
      </c>
      <c r="AY8" t="e">
        <f>AND(List1!R60,"AAAAAHv7nzI=")</f>
        <v>#VALUE!</v>
      </c>
      <c r="AZ8" t="e">
        <f>AND(List1!S60,"AAAAAHv7nzM=")</f>
        <v>#VALUE!</v>
      </c>
      <c r="BA8" t="e">
        <f>AND(List1!T60,"AAAAAHv7nzQ=")</f>
        <v>#VALUE!</v>
      </c>
      <c r="BB8" t="e">
        <f>AND(List1!U60,"AAAAAHv7nzU=")</f>
        <v>#VALUE!</v>
      </c>
      <c r="BC8" t="e">
        <f>AND(List1!V60,"AAAAAHv7nzY=")</f>
        <v>#VALUE!</v>
      </c>
      <c r="BD8" t="e">
        <f>AND(List1!W60,"AAAAAHv7nzc=")</f>
        <v>#VALUE!</v>
      </c>
      <c r="BE8" t="e">
        <f>AND(List1!X60,"AAAAAHv7nzg=")</f>
        <v>#VALUE!</v>
      </c>
      <c r="BF8" t="e">
        <f>AND(List1!Y60,"AAAAAHv7nzk=")</f>
        <v>#VALUE!</v>
      </c>
      <c r="BG8" t="e">
        <f>AND(List1!Z60,"AAAAAHv7nzo=")</f>
        <v>#VALUE!</v>
      </c>
      <c r="BH8" t="e">
        <f>AND(List1!AA60,"AAAAAHv7nzs=")</f>
        <v>#VALUE!</v>
      </c>
      <c r="BI8" t="e">
        <f>AND(List1!AB60,"AAAAAHv7nzw=")</f>
        <v>#VALUE!</v>
      </c>
      <c r="BJ8" t="e">
        <f>AND(List1!AC60,"AAAAAHv7nz0=")</f>
        <v>#VALUE!</v>
      </c>
      <c r="BK8" t="e">
        <f>AND(List1!AD60,"AAAAAHv7nz4=")</f>
        <v>#VALUE!</v>
      </c>
      <c r="BL8" t="e">
        <f>AND(List1!AE60,"AAAAAHv7nz8=")</f>
        <v>#VALUE!</v>
      </c>
      <c r="BM8">
        <f>IF(List1!61:61,"AAAAAHv7n0A=",0)</f>
        <v>0</v>
      </c>
      <c r="BN8" t="e">
        <f>AND(List1!A61,"AAAAAHv7n0E=")</f>
        <v>#VALUE!</v>
      </c>
      <c r="BO8" t="b">
        <f>AND(List1!B61,"AAAAAHv7n0I=")</f>
        <v>1</v>
      </c>
      <c r="BP8" t="e">
        <f>AND(List1!C61,"AAAAAHv7n0M=")</f>
        <v>#VALUE!</v>
      </c>
      <c r="BQ8" t="e">
        <f>AND(List1!D61,"AAAAAHv7n0Q=")</f>
        <v>#VALUE!</v>
      </c>
      <c r="BR8" t="e">
        <f>AND(List1!E61,"AAAAAHv7n0U=")</f>
        <v>#VALUE!</v>
      </c>
      <c r="BS8" t="e">
        <f>AND(List1!F61,"AAAAAHv7n0Y=")</f>
        <v>#VALUE!</v>
      </c>
      <c r="BT8" t="e">
        <f>AND(List1!G61,"AAAAAHv7n0c=")</f>
        <v>#VALUE!</v>
      </c>
      <c r="BU8" t="e">
        <f>AND(List1!H61,"AAAAAHv7n0g=")</f>
        <v>#VALUE!</v>
      </c>
      <c r="BV8" t="e">
        <f>AND(List1!I61,"AAAAAHv7n0k=")</f>
        <v>#VALUE!</v>
      </c>
      <c r="BW8" t="e">
        <f>AND(List1!J61,"AAAAAHv7n0o=")</f>
        <v>#VALUE!</v>
      </c>
      <c r="BX8" t="e">
        <f>AND(List1!K61,"AAAAAHv7n0s=")</f>
        <v>#VALUE!</v>
      </c>
      <c r="BY8" t="e">
        <f>AND(List1!L61,"AAAAAHv7n0w=")</f>
        <v>#VALUE!</v>
      </c>
      <c r="BZ8" t="e">
        <f>AND(List1!M61,"AAAAAHv7n00=")</f>
        <v>#VALUE!</v>
      </c>
      <c r="CA8" t="e">
        <f>AND(List1!N61,"AAAAAHv7n04=")</f>
        <v>#VALUE!</v>
      </c>
      <c r="CB8" t="e">
        <f>AND(List1!O61,"AAAAAHv7n08=")</f>
        <v>#VALUE!</v>
      </c>
      <c r="CC8" t="e">
        <f>AND(List1!P61,"AAAAAHv7n1A=")</f>
        <v>#VALUE!</v>
      </c>
      <c r="CD8" t="e">
        <f>AND(List1!Q61,"AAAAAHv7n1E=")</f>
        <v>#VALUE!</v>
      </c>
      <c r="CE8" t="e">
        <f>AND(List1!R61,"AAAAAHv7n1I=")</f>
        <v>#VALUE!</v>
      </c>
      <c r="CF8" t="e">
        <f>AND(List1!S61,"AAAAAHv7n1M=")</f>
        <v>#VALUE!</v>
      </c>
      <c r="CG8" t="e">
        <f>AND(List1!T61,"AAAAAHv7n1Q=")</f>
        <v>#VALUE!</v>
      </c>
      <c r="CH8" t="e">
        <f>AND(List1!U61,"AAAAAHv7n1U=")</f>
        <v>#VALUE!</v>
      </c>
      <c r="CI8" t="e">
        <f>AND(List1!V61,"AAAAAHv7n1Y=")</f>
        <v>#VALUE!</v>
      </c>
      <c r="CJ8" t="e">
        <f>AND(List1!W61,"AAAAAHv7n1c=")</f>
        <v>#VALUE!</v>
      </c>
      <c r="CK8" t="e">
        <f>AND(List1!X61,"AAAAAHv7n1g=")</f>
        <v>#VALUE!</v>
      </c>
      <c r="CL8" t="e">
        <f>AND(List1!Y61,"AAAAAHv7n1k=")</f>
        <v>#VALUE!</v>
      </c>
      <c r="CM8" t="e">
        <f>AND(List1!Z61,"AAAAAHv7n1o=")</f>
        <v>#VALUE!</v>
      </c>
      <c r="CN8" t="e">
        <f>AND(List1!AA61,"AAAAAHv7n1s=")</f>
        <v>#VALUE!</v>
      </c>
      <c r="CO8" t="e">
        <f>AND(List1!AB61,"AAAAAHv7n1w=")</f>
        <v>#VALUE!</v>
      </c>
      <c r="CP8" t="e">
        <f>AND(List1!AC61,"AAAAAHv7n10=")</f>
        <v>#VALUE!</v>
      </c>
      <c r="CQ8" t="e">
        <f>AND(List1!AD61,"AAAAAHv7n14=")</f>
        <v>#VALUE!</v>
      </c>
      <c r="CR8" t="e">
        <f>AND(List1!AE61,"AAAAAHv7n18=")</f>
        <v>#VALUE!</v>
      </c>
      <c r="CS8">
        <f>IF(List1!62:62,"AAAAAHv7n2A=",0)</f>
        <v>0</v>
      </c>
      <c r="CT8" t="e">
        <f>AND(List1!A62,"AAAAAHv7n2E=")</f>
        <v>#VALUE!</v>
      </c>
      <c r="CU8" t="b">
        <f>AND(List1!B62,"AAAAAHv7n2I=")</f>
        <v>1</v>
      </c>
      <c r="CV8" t="e">
        <f>AND(List1!C62,"AAAAAHv7n2M=")</f>
        <v>#VALUE!</v>
      </c>
      <c r="CW8" t="e">
        <f>AND(List1!D62,"AAAAAHv7n2Q=")</f>
        <v>#VALUE!</v>
      </c>
      <c r="CX8" t="e">
        <f>AND(List1!E62,"AAAAAHv7n2U=")</f>
        <v>#VALUE!</v>
      </c>
      <c r="CY8" t="e">
        <f>AND(List1!F62,"AAAAAHv7n2Y=")</f>
        <v>#VALUE!</v>
      </c>
      <c r="CZ8" t="e">
        <f>AND(List1!G62,"AAAAAHv7n2c=")</f>
        <v>#VALUE!</v>
      </c>
      <c r="DA8" t="e">
        <f>AND(List1!H62,"AAAAAHv7n2g=")</f>
        <v>#VALUE!</v>
      </c>
      <c r="DB8" t="e">
        <f>AND(List1!I62,"AAAAAHv7n2k=")</f>
        <v>#VALUE!</v>
      </c>
      <c r="DC8" t="e">
        <f>AND(List1!J62,"AAAAAHv7n2o=")</f>
        <v>#VALUE!</v>
      </c>
      <c r="DD8" t="e">
        <f>AND(List1!K62,"AAAAAHv7n2s=")</f>
        <v>#VALUE!</v>
      </c>
      <c r="DE8" t="e">
        <f>AND(List1!L62,"AAAAAHv7n2w=")</f>
        <v>#VALUE!</v>
      </c>
      <c r="DF8" t="e">
        <f>AND(List1!M62,"AAAAAHv7n20=")</f>
        <v>#VALUE!</v>
      </c>
      <c r="DG8" t="e">
        <f>AND(List1!N62,"AAAAAHv7n24=")</f>
        <v>#VALUE!</v>
      </c>
      <c r="DH8" t="e">
        <f>AND(List1!O62,"AAAAAHv7n28=")</f>
        <v>#VALUE!</v>
      </c>
      <c r="DI8" t="e">
        <f>AND(List1!P62,"AAAAAHv7n3A=")</f>
        <v>#VALUE!</v>
      </c>
      <c r="DJ8" t="e">
        <f>AND(List1!Q62,"AAAAAHv7n3E=")</f>
        <v>#VALUE!</v>
      </c>
      <c r="DK8" t="e">
        <f>AND(List1!R62,"AAAAAHv7n3I=")</f>
        <v>#VALUE!</v>
      </c>
      <c r="DL8" t="e">
        <f>AND(List1!S62,"AAAAAHv7n3M=")</f>
        <v>#VALUE!</v>
      </c>
      <c r="DM8" t="e">
        <f>AND(List1!T62,"AAAAAHv7n3Q=")</f>
        <v>#VALUE!</v>
      </c>
      <c r="DN8" t="e">
        <f>AND(List1!U62,"AAAAAHv7n3U=")</f>
        <v>#VALUE!</v>
      </c>
      <c r="DO8" t="e">
        <f>AND(List1!V62,"AAAAAHv7n3Y=")</f>
        <v>#VALUE!</v>
      </c>
      <c r="DP8" t="e">
        <f>AND(List1!W62,"AAAAAHv7n3c=")</f>
        <v>#VALUE!</v>
      </c>
      <c r="DQ8" t="e">
        <f>AND(List1!X62,"AAAAAHv7n3g=")</f>
        <v>#VALUE!</v>
      </c>
      <c r="DR8" t="e">
        <f>AND(List1!Y62,"AAAAAHv7n3k=")</f>
        <v>#VALUE!</v>
      </c>
      <c r="DS8" t="e">
        <f>AND(List1!Z62,"AAAAAHv7n3o=")</f>
        <v>#VALUE!</v>
      </c>
      <c r="DT8" t="e">
        <f>AND(List1!AA62,"AAAAAHv7n3s=")</f>
        <v>#VALUE!</v>
      </c>
      <c r="DU8" t="e">
        <f>AND(List1!AB62,"AAAAAHv7n3w=")</f>
        <v>#VALUE!</v>
      </c>
      <c r="DV8" t="e">
        <f>AND(List1!AC62,"AAAAAHv7n30=")</f>
        <v>#VALUE!</v>
      </c>
      <c r="DW8" t="e">
        <f>AND(List1!AD62,"AAAAAHv7n34=")</f>
        <v>#VALUE!</v>
      </c>
      <c r="DX8" t="e">
        <f>AND(List1!AE62,"AAAAAHv7n38=")</f>
        <v>#VALUE!</v>
      </c>
      <c r="DY8">
        <f>IF(List1!63:63,"AAAAAHv7n4A=",0)</f>
        <v>0</v>
      </c>
      <c r="DZ8" t="e">
        <f>AND(List1!A63,"AAAAAHv7n4E=")</f>
        <v>#VALUE!</v>
      </c>
      <c r="EA8" t="b">
        <f>AND(List1!B63,"AAAAAHv7n4I=")</f>
        <v>1</v>
      </c>
      <c r="EB8" t="e">
        <f>AND(List1!C63,"AAAAAHv7n4M=")</f>
        <v>#VALUE!</v>
      </c>
      <c r="EC8" t="e">
        <f>AND(List1!D63,"AAAAAHv7n4Q=")</f>
        <v>#VALUE!</v>
      </c>
      <c r="ED8" t="e">
        <f>AND(List1!E63,"AAAAAHv7n4U=")</f>
        <v>#VALUE!</v>
      </c>
      <c r="EE8" t="e">
        <f>AND(List1!F63,"AAAAAHv7n4Y=")</f>
        <v>#VALUE!</v>
      </c>
      <c r="EF8" t="e">
        <f>AND(List1!G63,"AAAAAHv7n4c=")</f>
        <v>#VALUE!</v>
      </c>
      <c r="EG8" t="e">
        <f>AND(List1!H63,"AAAAAHv7n4g=")</f>
        <v>#VALUE!</v>
      </c>
      <c r="EH8" t="e">
        <f>AND(List1!I63,"AAAAAHv7n4k=")</f>
        <v>#VALUE!</v>
      </c>
      <c r="EI8" t="e">
        <f>AND(List1!J63,"AAAAAHv7n4o=")</f>
        <v>#VALUE!</v>
      </c>
      <c r="EJ8" t="e">
        <f>AND(List1!K63,"AAAAAHv7n4s=")</f>
        <v>#VALUE!</v>
      </c>
      <c r="EK8" t="e">
        <f>AND(List1!L63,"AAAAAHv7n4w=")</f>
        <v>#VALUE!</v>
      </c>
      <c r="EL8" t="e">
        <f>AND(List1!M63,"AAAAAHv7n40=")</f>
        <v>#VALUE!</v>
      </c>
      <c r="EM8" t="e">
        <f>AND(List1!N63,"AAAAAHv7n44=")</f>
        <v>#VALUE!</v>
      </c>
      <c r="EN8" t="e">
        <f>AND(List1!O63,"AAAAAHv7n48=")</f>
        <v>#VALUE!</v>
      </c>
      <c r="EO8" t="e">
        <f>AND(List1!P63,"AAAAAHv7n5A=")</f>
        <v>#VALUE!</v>
      </c>
      <c r="EP8" t="e">
        <f>AND(List1!Q63,"AAAAAHv7n5E=")</f>
        <v>#VALUE!</v>
      </c>
      <c r="EQ8" t="e">
        <f>AND(List1!R63,"AAAAAHv7n5I=")</f>
        <v>#VALUE!</v>
      </c>
      <c r="ER8" t="e">
        <f>AND(List1!S63,"AAAAAHv7n5M=")</f>
        <v>#VALUE!</v>
      </c>
      <c r="ES8" t="e">
        <f>AND(List1!T63,"AAAAAHv7n5Q=")</f>
        <v>#VALUE!</v>
      </c>
      <c r="ET8" t="e">
        <f>AND(List1!U63,"AAAAAHv7n5U=")</f>
        <v>#VALUE!</v>
      </c>
      <c r="EU8" t="e">
        <f>AND(List1!V63,"AAAAAHv7n5Y=")</f>
        <v>#VALUE!</v>
      </c>
      <c r="EV8" t="e">
        <f>AND(List1!W63,"AAAAAHv7n5c=")</f>
        <v>#VALUE!</v>
      </c>
      <c r="EW8" t="e">
        <f>AND(List1!X63,"AAAAAHv7n5g=")</f>
        <v>#VALUE!</v>
      </c>
      <c r="EX8" t="e">
        <f>AND(List1!Y63,"AAAAAHv7n5k=")</f>
        <v>#VALUE!</v>
      </c>
      <c r="EY8" t="e">
        <f>AND(List1!Z63,"AAAAAHv7n5o=")</f>
        <v>#VALUE!</v>
      </c>
      <c r="EZ8" t="e">
        <f>AND(List1!AA63,"AAAAAHv7n5s=")</f>
        <v>#VALUE!</v>
      </c>
      <c r="FA8" t="e">
        <f>AND(List1!AB63,"AAAAAHv7n5w=")</f>
        <v>#VALUE!</v>
      </c>
      <c r="FB8" t="e">
        <f>AND(List1!AC63,"AAAAAHv7n50=")</f>
        <v>#VALUE!</v>
      </c>
      <c r="FC8" t="e">
        <f>AND(List1!AD63,"AAAAAHv7n54=")</f>
        <v>#VALUE!</v>
      </c>
      <c r="FD8" t="e">
        <f>AND(List1!AE63,"AAAAAHv7n58=")</f>
        <v>#VALUE!</v>
      </c>
      <c r="FE8">
        <f>IF(List1!64:64,"AAAAAHv7n6A=",0)</f>
        <v>0</v>
      </c>
      <c r="FF8" t="e">
        <f>AND(List1!A64,"AAAAAHv7n6E=")</f>
        <v>#VALUE!</v>
      </c>
      <c r="FG8" t="b">
        <f>AND(List1!B64,"AAAAAHv7n6I=")</f>
        <v>1</v>
      </c>
      <c r="FH8" t="e">
        <f>AND(List1!C64,"AAAAAHv7n6M=")</f>
        <v>#VALUE!</v>
      </c>
      <c r="FI8" t="e">
        <f>AND(List1!D64,"AAAAAHv7n6Q=")</f>
        <v>#VALUE!</v>
      </c>
      <c r="FJ8" t="e">
        <f>AND(List1!E64,"AAAAAHv7n6U=")</f>
        <v>#VALUE!</v>
      </c>
      <c r="FK8" t="e">
        <f>AND(List1!F64,"AAAAAHv7n6Y=")</f>
        <v>#VALUE!</v>
      </c>
      <c r="FL8" t="e">
        <f>AND(List1!G64,"AAAAAHv7n6c=")</f>
        <v>#VALUE!</v>
      </c>
      <c r="FM8" t="e">
        <f>AND(List1!H64,"AAAAAHv7n6g=")</f>
        <v>#VALUE!</v>
      </c>
      <c r="FN8" t="e">
        <f>AND(List1!I64,"AAAAAHv7n6k=")</f>
        <v>#VALUE!</v>
      </c>
      <c r="FO8" t="e">
        <f>AND(List1!J64,"AAAAAHv7n6o=")</f>
        <v>#VALUE!</v>
      </c>
      <c r="FP8" t="e">
        <f>AND(List1!K64,"AAAAAHv7n6s=")</f>
        <v>#VALUE!</v>
      </c>
      <c r="FQ8" t="e">
        <f>AND(List1!L64,"AAAAAHv7n6w=")</f>
        <v>#VALUE!</v>
      </c>
      <c r="FR8" t="e">
        <f>AND(List1!M64,"AAAAAHv7n60=")</f>
        <v>#VALUE!</v>
      </c>
      <c r="FS8" t="e">
        <f>AND(List1!N64,"AAAAAHv7n64=")</f>
        <v>#VALUE!</v>
      </c>
      <c r="FT8" t="e">
        <f>AND(List1!O64,"AAAAAHv7n68=")</f>
        <v>#VALUE!</v>
      </c>
      <c r="FU8" t="e">
        <f>AND(List1!P64,"AAAAAHv7n7A=")</f>
        <v>#VALUE!</v>
      </c>
      <c r="FV8" t="e">
        <f>AND(List1!Q64,"AAAAAHv7n7E=")</f>
        <v>#VALUE!</v>
      </c>
      <c r="FW8" t="e">
        <f>AND(List1!R64,"AAAAAHv7n7I=")</f>
        <v>#VALUE!</v>
      </c>
      <c r="FX8" t="e">
        <f>AND(List1!S64,"AAAAAHv7n7M=")</f>
        <v>#VALUE!</v>
      </c>
      <c r="FY8" t="e">
        <f>AND(List1!T64,"AAAAAHv7n7Q=")</f>
        <v>#VALUE!</v>
      </c>
      <c r="FZ8" t="e">
        <f>AND(List1!U64,"AAAAAHv7n7U=")</f>
        <v>#VALUE!</v>
      </c>
      <c r="GA8" t="e">
        <f>AND(List1!V64,"AAAAAHv7n7Y=")</f>
        <v>#VALUE!</v>
      </c>
      <c r="GB8" t="e">
        <f>AND(List1!W64,"AAAAAHv7n7c=")</f>
        <v>#VALUE!</v>
      </c>
      <c r="GC8" t="e">
        <f>AND(List1!X64,"AAAAAHv7n7g=")</f>
        <v>#VALUE!</v>
      </c>
      <c r="GD8" t="e">
        <f>AND(List1!Y64,"AAAAAHv7n7k=")</f>
        <v>#VALUE!</v>
      </c>
      <c r="GE8" t="e">
        <f>AND(List1!Z64,"AAAAAHv7n7o=")</f>
        <v>#VALUE!</v>
      </c>
      <c r="GF8" t="e">
        <f>AND(List1!AA64,"AAAAAHv7n7s=")</f>
        <v>#VALUE!</v>
      </c>
      <c r="GG8" t="e">
        <f>AND(List1!AB64,"AAAAAHv7n7w=")</f>
        <v>#VALUE!</v>
      </c>
      <c r="GH8" t="e">
        <f>AND(List1!AC64,"AAAAAHv7n70=")</f>
        <v>#VALUE!</v>
      </c>
      <c r="GI8" t="e">
        <f>AND(List1!AD64,"AAAAAHv7n74=")</f>
        <v>#VALUE!</v>
      </c>
      <c r="GJ8" t="e">
        <f>AND(List1!AE64,"AAAAAHv7n78=")</f>
        <v>#VALUE!</v>
      </c>
      <c r="GK8">
        <f>IF(List1!65:65,"AAAAAHv7n8A=",0)</f>
        <v>0</v>
      </c>
      <c r="GL8" t="e">
        <f>AND(List1!A65,"AAAAAHv7n8E=")</f>
        <v>#VALUE!</v>
      </c>
      <c r="GM8" t="b">
        <f>AND(List1!B65,"AAAAAHv7n8I=")</f>
        <v>1</v>
      </c>
      <c r="GN8" t="e">
        <f>AND(List1!C65,"AAAAAHv7n8M=")</f>
        <v>#VALUE!</v>
      </c>
      <c r="GO8" t="e">
        <f>AND(List1!D65,"AAAAAHv7n8Q=")</f>
        <v>#VALUE!</v>
      </c>
      <c r="GP8" t="e">
        <f>AND(List1!E65,"AAAAAHv7n8U=")</f>
        <v>#VALUE!</v>
      </c>
      <c r="GQ8" t="e">
        <f>AND(List1!F65,"AAAAAHv7n8Y=")</f>
        <v>#VALUE!</v>
      </c>
      <c r="GR8" t="e">
        <f>AND(List1!G65,"AAAAAHv7n8c=")</f>
        <v>#VALUE!</v>
      </c>
      <c r="GS8" t="e">
        <f>AND(List1!H65,"AAAAAHv7n8g=")</f>
        <v>#VALUE!</v>
      </c>
      <c r="GT8" t="e">
        <f>AND(List1!I65,"AAAAAHv7n8k=")</f>
        <v>#VALUE!</v>
      </c>
      <c r="GU8" t="e">
        <f>AND(List1!J65,"AAAAAHv7n8o=")</f>
        <v>#VALUE!</v>
      </c>
      <c r="GV8" t="e">
        <f>AND(List1!K65,"AAAAAHv7n8s=")</f>
        <v>#VALUE!</v>
      </c>
      <c r="GW8" t="e">
        <f>AND(List1!L65,"AAAAAHv7n8w=")</f>
        <v>#VALUE!</v>
      </c>
      <c r="GX8" t="e">
        <f>AND(List1!M65,"AAAAAHv7n80=")</f>
        <v>#VALUE!</v>
      </c>
      <c r="GY8" t="e">
        <f>AND(List1!N65,"AAAAAHv7n84=")</f>
        <v>#VALUE!</v>
      </c>
      <c r="GZ8" t="e">
        <f>AND(List1!O65,"AAAAAHv7n88=")</f>
        <v>#VALUE!</v>
      </c>
      <c r="HA8" t="e">
        <f>AND(List1!P65,"AAAAAHv7n9A=")</f>
        <v>#VALUE!</v>
      </c>
      <c r="HB8" t="e">
        <f>AND(List1!Q65,"AAAAAHv7n9E=")</f>
        <v>#VALUE!</v>
      </c>
      <c r="HC8" t="e">
        <f>AND(List1!R65,"AAAAAHv7n9I=")</f>
        <v>#VALUE!</v>
      </c>
      <c r="HD8" t="e">
        <f>AND(List1!S65,"AAAAAHv7n9M=")</f>
        <v>#VALUE!</v>
      </c>
      <c r="HE8" t="e">
        <f>AND(List1!T65,"AAAAAHv7n9Q=")</f>
        <v>#VALUE!</v>
      </c>
      <c r="HF8" t="e">
        <f>AND(List1!U65,"AAAAAHv7n9U=")</f>
        <v>#VALUE!</v>
      </c>
      <c r="HG8" t="e">
        <f>AND(List1!V65,"AAAAAHv7n9Y=")</f>
        <v>#VALUE!</v>
      </c>
      <c r="HH8" t="e">
        <f>AND(List1!W65,"AAAAAHv7n9c=")</f>
        <v>#VALUE!</v>
      </c>
      <c r="HI8" t="e">
        <f>AND(List1!X65,"AAAAAHv7n9g=")</f>
        <v>#VALUE!</v>
      </c>
      <c r="HJ8" t="e">
        <f>AND(List1!Y65,"AAAAAHv7n9k=")</f>
        <v>#VALUE!</v>
      </c>
      <c r="HK8" t="e">
        <f>AND(List1!Z65,"AAAAAHv7n9o=")</f>
        <v>#VALUE!</v>
      </c>
      <c r="HL8" t="e">
        <f>AND(List1!AA65,"AAAAAHv7n9s=")</f>
        <v>#VALUE!</v>
      </c>
      <c r="HM8" t="e">
        <f>AND(List1!AB65,"AAAAAHv7n9w=")</f>
        <v>#VALUE!</v>
      </c>
      <c r="HN8" t="e">
        <f>AND(List1!AC65,"AAAAAHv7n90=")</f>
        <v>#VALUE!</v>
      </c>
      <c r="HO8" t="e">
        <f>AND(List1!AD65,"AAAAAHv7n94=")</f>
        <v>#VALUE!</v>
      </c>
      <c r="HP8" t="e">
        <f>AND(List1!AE65,"AAAAAHv7n98=")</f>
        <v>#VALUE!</v>
      </c>
      <c r="HQ8">
        <f>IF(List1!66:66,"AAAAAHv7n+A=",0)</f>
        <v>0</v>
      </c>
      <c r="HR8" t="e">
        <f>AND(List1!A66,"AAAAAHv7n+E=")</f>
        <v>#VALUE!</v>
      </c>
      <c r="HS8" t="b">
        <f>AND(List1!B66,"AAAAAHv7n+I=")</f>
        <v>1</v>
      </c>
      <c r="HT8" t="e">
        <f>AND(List1!C66,"AAAAAHv7n+M=")</f>
        <v>#VALUE!</v>
      </c>
      <c r="HU8" t="e">
        <f>AND(List1!D66,"AAAAAHv7n+Q=")</f>
        <v>#VALUE!</v>
      </c>
      <c r="HV8" t="e">
        <f>AND(List1!E66,"AAAAAHv7n+U=")</f>
        <v>#VALUE!</v>
      </c>
      <c r="HW8" t="e">
        <f>AND(List1!F66,"AAAAAHv7n+Y=")</f>
        <v>#VALUE!</v>
      </c>
      <c r="HX8" t="e">
        <f>AND(List1!G66,"AAAAAHv7n+c=")</f>
        <v>#VALUE!</v>
      </c>
      <c r="HY8" t="e">
        <f>AND(List1!H66,"AAAAAHv7n+g=")</f>
        <v>#VALUE!</v>
      </c>
      <c r="HZ8" t="e">
        <f>AND(List1!I66,"AAAAAHv7n+k=")</f>
        <v>#VALUE!</v>
      </c>
      <c r="IA8" t="e">
        <f>AND(List1!J66,"AAAAAHv7n+o=")</f>
        <v>#VALUE!</v>
      </c>
      <c r="IB8" t="e">
        <f>AND(List1!K66,"AAAAAHv7n+s=")</f>
        <v>#VALUE!</v>
      </c>
      <c r="IC8" t="e">
        <f>AND(List1!L66,"AAAAAHv7n+w=")</f>
        <v>#VALUE!</v>
      </c>
      <c r="ID8" t="e">
        <f>AND(List1!M66,"AAAAAHv7n+0=")</f>
        <v>#VALUE!</v>
      </c>
      <c r="IE8" t="e">
        <f>AND(List1!N66,"AAAAAHv7n+4=")</f>
        <v>#VALUE!</v>
      </c>
      <c r="IF8" t="e">
        <f>AND(List1!O66,"AAAAAHv7n+8=")</f>
        <v>#VALUE!</v>
      </c>
      <c r="IG8" t="e">
        <f>AND(List1!P66,"AAAAAHv7n/A=")</f>
        <v>#VALUE!</v>
      </c>
      <c r="IH8" t="e">
        <f>AND(List1!Q66,"AAAAAHv7n/E=")</f>
        <v>#VALUE!</v>
      </c>
      <c r="II8" t="e">
        <f>AND(List1!R66,"AAAAAHv7n/I=")</f>
        <v>#VALUE!</v>
      </c>
      <c r="IJ8" t="e">
        <f>AND(List1!S66,"AAAAAHv7n/M=")</f>
        <v>#VALUE!</v>
      </c>
      <c r="IK8" t="e">
        <f>AND(List1!T66,"AAAAAHv7n/Q=")</f>
        <v>#VALUE!</v>
      </c>
      <c r="IL8" t="e">
        <f>AND(List1!U66,"AAAAAHv7n/U=")</f>
        <v>#VALUE!</v>
      </c>
      <c r="IM8" t="e">
        <f>AND(List1!V66,"AAAAAHv7n/Y=")</f>
        <v>#VALUE!</v>
      </c>
      <c r="IN8" t="e">
        <f>AND(List1!W66,"AAAAAHv7n/c=")</f>
        <v>#VALUE!</v>
      </c>
      <c r="IO8" t="e">
        <f>AND(List1!X66,"AAAAAHv7n/g=")</f>
        <v>#VALUE!</v>
      </c>
      <c r="IP8" t="e">
        <f>AND(List1!Y66,"AAAAAHv7n/k=")</f>
        <v>#VALUE!</v>
      </c>
      <c r="IQ8" t="e">
        <f>AND(List1!Z66,"AAAAAHv7n/o=")</f>
        <v>#VALUE!</v>
      </c>
      <c r="IR8" t="e">
        <f>AND(List1!AA66,"AAAAAHv7n/s=")</f>
        <v>#VALUE!</v>
      </c>
      <c r="IS8" t="e">
        <f>AND(List1!AB66,"AAAAAHv7n/w=")</f>
        <v>#VALUE!</v>
      </c>
      <c r="IT8" t="e">
        <f>AND(List1!AC66,"AAAAAHv7n/0=")</f>
        <v>#VALUE!</v>
      </c>
      <c r="IU8" t="e">
        <f>AND(List1!AD66,"AAAAAHv7n/4=")</f>
        <v>#VALUE!</v>
      </c>
      <c r="IV8" t="e">
        <f>AND(List1!AE66,"AAAAAHv7n/8=")</f>
        <v>#VALUE!</v>
      </c>
    </row>
    <row r="9" spans="1:256" x14ac:dyDescent="0.25">
      <c r="A9">
        <f>IF(List1!67:67,"AAAAAHfX7wA=",0)</f>
        <v>0</v>
      </c>
      <c r="B9" t="e">
        <f>AND(List1!A67,"AAAAAHfX7wE=")</f>
        <v>#VALUE!</v>
      </c>
      <c r="C9" t="b">
        <f>AND(List1!B67,"AAAAAHfX7wI=")</f>
        <v>1</v>
      </c>
      <c r="D9" t="e">
        <f>AND(List1!C67,"AAAAAHfX7wM=")</f>
        <v>#VALUE!</v>
      </c>
      <c r="E9" t="e">
        <f>AND(List1!D67,"AAAAAHfX7wQ=")</f>
        <v>#VALUE!</v>
      </c>
      <c r="F9" t="e">
        <f>AND(List1!E67,"AAAAAHfX7wU=")</f>
        <v>#VALUE!</v>
      </c>
      <c r="G9" t="e">
        <f>AND(List1!F67,"AAAAAHfX7wY=")</f>
        <v>#VALUE!</v>
      </c>
      <c r="H9" t="e">
        <f>AND(List1!G67,"AAAAAHfX7wc=")</f>
        <v>#VALUE!</v>
      </c>
      <c r="I9" t="e">
        <f>AND(List1!H67,"AAAAAHfX7wg=")</f>
        <v>#VALUE!</v>
      </c>
      <c r="J9" t="e">
        <f>AND(List1!I67,"AAAAAHfX7wk=")</f>
        <v>#VALUE!</v>
      </c>
      <c r="K9" t="e">
        <f>AND(List1!J67,"AAAAAHfX7wo=")</f>
        <v>#VALUE!</v>
      </c>
      <c r="L9" t="e">
        <f>AND(List1!K67,"AAAAAHfX7ws=")</f>
        <v>#VALUE!</v>
      </c>
      <c r="M9" t="e">
        <f>AND(List1!L67,"AAAAAHfX7ww=")</f>
        <v>#VALUE!</v>
      </c>
      <c r="N9" t="e">
        <f>AND(List1!M67,"AAAAAHfX7w0=")</f>
        <v>#VALUE!</v>
      </c>
      <c r="O9" t="e">
        <f>AND(List1!N67,"AAAAAHfX7w4=")</f>
        <v>#VALUE!</v>
      </c>
      <c r="P9" t="e">
        <f>AND(List1!O67,"AAAAAHfX7w8=")</f>
        <v>#VALUE!</v>
      </c>
      <c r="Q9" t="e">
        <f>AND(List1!P67,"AAAAAHfX7xA=")</f>
        <v>#VALUE!</v>
      </c>
      <c r="R9" t="e">
        <f>AND(List1!Q67,"AAAAAHfX7xE=")</f>
        <v>#VALUE!</v>
      </c>
      <c r="S9" t="e">
        <f>AND(List1!R67,"AAAAAHfX7xI=")</f>
        <v>#VALUE!</v>
      </c>
      <c r="T9" t="e">
        <f>AND(List1!S67,"AAAAAHfX7xM=")</f>
        <v>#VALUE!</v>
      </c>
      <c r="U9" t="e">
        <f>AND(List1!T67,"AAAAAHfX7xQ=")</f>
        <v>#VALUE!</v>
      </c>
      <c r="V9" t="e">
        <f>AND(List1!U67,"AAAAAHfX7xU=")</f>
        <v>#VALUE!</v>
      </c>
      <c r="W9" t="e">
        <f>AND(List1!V67,"AAAAAHfX7xY=")</f>
        <v>#VALUE!</v>
      </c>
      <c r="X9" t="e">
        <f>AND(List1!W67,"AAAAAHfX7xc=")</f>
        <v>#VALUE!</v>
      </c>
      <c r="Y9" t="e">
        <f>AND(List1!X67,"AAAAAHfX7xg=")</f>
        <v>#VALUE!</v>
      </c>
      <c r="Z9" t="e">
        <f>AND(List1!Y67,"AAAAAHfX7xk=")</f>
        <v>#VALUE!</v>
      </c>
      <c r="AA9" t="e">
        <f>AND(List1!Z67,"AAAAAHfX7xo=")</f>
        <v>#VALUE!</v>
      </c>
      <c r="AB9" t="e">
        <f>AND(List1!AA67,"AAAAAHfX7xs=")</f>
        <v>#VALUE!</v>
      </c>
      <c r="AC9" t="e">
        <f>AND(List1!AB67,"AAAAAHfX7xw=")</f>
        <v>#VALUE!</v>
      </c>
      <c r="AD9" t="e">
        <f>AND(List1!AC67,"AAAAAHfX7x0=")</f>
        <v>#VALUE!</v>
      </c>
      <c r="AE9" t="e">
        <f>AND(List1!AD67,"AAAAAHfX7x4=")</f>
        <v>#VALUE!</v>
      </c>
      <c r="AF9" t="e">
        <f>AND(List1!AE67,"AAAAAHfX7x8=")</f>
        <v>#VALUE!</v>
      </c>
      <c r="AG9">
        <f>IF(List1!68:68,"AAAAAHfX7yA=",0)</f>
        <v>0</v>
      </c>
      <c r="AH9" t="e">
        <f>AND(List1!A68,"AAAAAHfX7yE=")</f>
        <v>#VALUE!</v>
      </c>
      <c r="AI9" t="b">
        <f>AND(List1!B68,"AAAAAHfX7yI=")</f>
        <v>1</v>
      </c>
      <c r="AJ9" t="e">
        <f>AND(List1!C68,"AAAAAHfX7yM=")</f>
        <v>#VALUE!</v>
      </c>
      <c r="AK9" t="e">
        <f>AND(List1!D68,"AAAAAHfX7yQ=")</f>
        <v>#VALUE!</v>
      </c>
      <c r="AL9" t="e">
        <f>AND(List1!E68,"AAAAAHfX7yU=")</f>
        <v>#VALUE!</v>
      </c>
      <c r="AM9" t="e">
        <f>AND(List1!F68,"AAAAAHfX7yY=")</f>
        <v>#VALUE!</v>
      </c>
      <c r="AN9" t="e">
        <f>AND(List1!G68,"AAAAAHfX7yc=")</f>
        <v>#VALUE!</v>
      </c>
      <c r="AO9" t="e">
        <f>AND(List1!H68,"AAAAAHfX7yg=")</f>
        <v>#VALUE!</v>
      </c>
      <c r="AP9" t="e">
        <f>AND(List1!I68,"AAAAAHfX7yk=")</f>
        <v>#VALUE!</v>
      </c>
      <c r="AQ9" t="e">
        <f>AND(List1!J68,"AAAAAHfX7yo=")</f>
        <v>#VALUE!</v>
      </c>
      <c r="AR9" t="e">
        <f>AND(List1!K68,"AAAAAHfX7ys=")</f>
        <v>#VALUE!</v>
      </c>
      <c r="AS9" t="e">
        <f>AND(List1!L68,"AAAAAHfX7yw=")</f>
        <v>#VALUE!</v>
      </c>
      <c r="AT9" t="e">
        <f>AND(List1!M68,"AAAAAHfX7y0=")</f>
        <v>#VALUE!</v>
      </c>
      <c r="AU9" t="e">
        <f>AND(List1!N68,"AAAAAHfX7y4=")</f>
        <v>#VALUE!</v>
      </c>
      <c r="AV9" t="e">
        <f>AND(List1!O68,"AAAAAHfX7y8=")</f>
        <v>#VALUE!</v>
      </c>
      <c r="AW9" t="e">
        <f>AND(List1!P68,"AAAAAHfX7zA=")</f>
        <v>#VALUE!</v>
      </c>
      <c r="AX9" t="e">
        <f>AND(List1!Q68,"AAAAAHfX7zE=")</f>
        <v>#VALUE!</v>
      </c>
      <c r="AY9" t="e">
        <f>AND(List1!R68,"AAAAAHfX7zI=")</f>
        <v>#VALUE!</v>
      </c>
      <c r="AZ9" t="e">
        <f>AND(List1!S68,"AAAAAHfX7zM=")</f>
        <v>#VALUE!</v>
      </c>
      <c r="BA9" t="e">
        <f>AND(List1!T68,"AAAAAHfX7zQ=")</f>
        <v>#VALUE!</v>
      </c>
      <c r="BB9" t="e">
        <f>AND(List1!U68,"AAAAAHfX7zU=")</f>
        <v>#VALUE!</v>
      </c>
      <c r="BC9" t="e">
        <f>AND(List1!V68,"AAAAAHfX7zY=")</f>
        <v>#VALUE!</v>
      </c>
      <c r="BD9" t="e">
        <f>AND(List1!W68,"AAAAAHfX7zc=")</f>
        <v>#VALUE!</v>
      </c>
      <c r="BE9" t="e">
        <f>AND(List1!X68,"AAAAAHfX7zg=")</f>
        <v>#VALUE!</v>
      </c>
      <c r="BF9" t="e">
        <f>AND(List1!Y68,"AAAAAHfX7zk=")</f>
        <v>#VALUE!</v>
      </c>
      <c r="BG9" t="e">
        <f>AND(List1!Z68,"AAAAAHfX7zo=")</f>
        <v>#VALUE!</v>
      </c>
      <c r="BH9" t="e">
        <f>AND(List1!AA68,"AAAAAHfX7zs=")</f>
        <v>#VALUE!</v>
      </c>
      <c r="BI9" t="e">
        <f>AND(List1!AB68,"AAAAAHfX7zw=")</f>
        <v>#VALUE!</v>
      </c>
      <c r="BJ9" t="e">
        <f>AND(List1!AC68,"AAAAAHfX7z0=")</f>
        <v>#VALUE!</v>
      </c>
      <c r="BK9" t="e">
        <f>AND(List1!AD68,"AAAAAHfX7z4=")</f>
        <v>#VALUE!</v>
      </c>
      <c r="BL9" t="e">
        <f>AND(List1!AE68,"AAAAAHfX7z8=")</f>
        <v>#VALUE!</v>
      </c>
      <c r="BM9">
        <f>IF(List1!69:69,"AAAAAHfX70A=",0)</f>
        <v>0</v>
      </c>
      <c r="BN9" t="e">
        <f>AND(List1!A69,"AAAAAHfX70E=")</f>
        <v>#VALUE!</v>
      </c>
      <c r="BO9" t="e">
        <f>AND(List1!B69,"AAAAAHfX70I=")</f>
        <v>#VALUE!</v>
      </c>
      <c r="BP9" t="e">
        <f>AND(List1!C69,"AAAAAHfX70M=")</f>
        <v>#VALUE!</v>
      </c>
      <c r="BQ9" t="e">
        <f>AND(List1!D69,"AAAAAHfX70Q=")</f>
        <v>#VALUE!</v>
      </c>
      <c r="BR9" t="e">
        <f>AND(List1!E69,"AAAAAHfX70U=")</f>
        <v>#VALUE!</v>
      </c>
      <c r="BS9" t="e">
        <f>AND(List1!F69,"AAAAAHfX70Y=")</f>
        <v>#VALUE!</v>
      </c>
      <c r="BT9" t="e">
        <f>AND(List1!G69,"AAAAAHfX70c=")</f>
        <v>#VALUE!</v>
      </c>
      <c r="BU9" t="e">
        <f>AND(List1!H69,"AAAAAHfX70g=")</f>
        <v>#VALUE!</v>
      </c>
      <c r="BV9" t="e">
        <f>AND(List1!I69,"AAAAAHfX70k=")</f>
        <v>#VALUE!</v>
      </c>
      <c r="BW9" t="e">
        <f>AND(List1!J69,"AAAAAHfX70o=")</f>
        <v>#VALUE!</v>
      </c>
      <c r="BX9" t="e">
        <f>AND(List1!K69,"AAAAAHfX70s=")</f>
        <v>#VALUE!</v>
      </c>
      <c r="BY9" t="e">
        <f>AND(List1!L69,"AAAAAHfX70w=")</f>
        <v>#VALUE!</v>
      </c>
      <c r="BZ9" t="e">
        <f>AND(List1!M69,"AAAAAHfX700=")</f>
        <v>#VALUE!</v>
      </c>
      <c r="CA9" t="e">
        <f>AND(List1!N69,"AAAAAHfX704=")</f>
        <v>#VALUE!</v>
      </c>
      <c r="CB9" t="e">
        <f>AND(List1!O69,"AAAAAHfX708=")</f>
        <v>#VALUE!</v>
      </c>
      <c r="CC9" t="e">
        <f>AND(List1!P69,"AAAAAHfX71A=")</f>
        <v>#VALUE!</v>
      </c>
      <c r="CD9" t="e">
        <f>AND(List1!Q69,"AAAAAHfX71E=")</f>
        <v>#VALUE!</v>
      </c>
      <c r="CE9" t="e">
        <f>AND(List1!R69,"AAAAAHfX71I=")</f>
        <v>#VALUE!</v>
      </c>
      <c r="CF9" t="e">
        <f>AND(List1!S69,"AAAAAHfX71M=")</f>
        <v>#VALUE!</v>
      </c>
      <c r="CG9" t="e">
        <f>AND(List1!T69,"AAAAAHfX71Q=")</f>
        <v>#VALUE!</v>
      </c>
      <c r="CH9" t="e">
        <f>AND(List1!U69,"AAAAAHfX71U=")</f>
        <v>#VALUE!</v>
      </c>
      <c r="CI9" t="e">
        <f>AND(List1!V69,"AAAAAHfX71Y=")</f>
        <v>#VALUE!</v>
      </c>
      <c r="CJ9" t="e">
        <f>AND(List1!W69,"AAAAAHfX71c=")</f>
        <v>#VALUE!</v>
      </c>
      <c r="CK9" t="e">
        <f>AND(List1!X69,"AAAAAHfX71g=")</f>
        <v>#VALUE!</v>
      </c>
      <c r="CL9" t="e">
        <f>AND(List1!Y69,"AAAAAHfX71k=")</f>
        <v>#VALUE!</v>
      </c>
      <c r="CM9" t="e">
        <f>AND(List1!Z69,"AAAAAHfX71o=")</f>
        <v>#VALUE!</v>
      </c>
      <c r="CN9" t="e">
        <f>AND(List1!AA69,"AAAAAHfX71s=")</f>
        <v>#VALUE!</v>
      </c>
      <c r="CO9" t="e">
        <f>AND(List1!AB69,"AAAAAHfX71w=")</f>
        <v>#VALUE!</v>
      </c>
      <c r="CP9" t="e">
        <f>AND(List1!AC69,"AAAAAHfX710=")</f>
        <v>#VALUE!</v>
      </c>
      <c r="CQ9" t="e">
        <f>AND(List1!AD69,"AAAAAHfX714=")</f>
        <v>#VALUE!</v>
      </c>
      <c r="CR9" t="e">
        <f>AND(List1!AE69,"AAAAAHfX718=")</f>
        <v>#VALUE!</v>
      </c>
      <c r="CS9">
        <f>IF(List1!70:70,"AAAAAHfX72A=",0)</f>
        <v>0</v>
      </c>
      <c r="CT9" t="e">
        <f>AND(List1!A70,"AAAAAHfX72E=")</f>
        <v>#VALUE!</v>
      </c>
      <c r="CU9" t="e">
        <f>AND(List1!B70,"AAAAAHfX72I=")</f>
        <v>#VALUE!</v>
      </c>
      <c r="CV9" t="e">
        <f>AND(List1!C70,"AAAAAHfX72M=")</f>
        <v>#VALUE!</v>
      </c>
      <c r="CW9" t="e">
        <f>AND(List1!D70,"AAAAAHfX72Q=")</f>
        <v>#VALUE!</v>
      </c>
      <c r="CX9" t="e">
        <f>AND(List1!E70,"AAAAAHfX72U=")</f>
        <v>#VALUE!</v>
      </c>
      <c r="CY9" t="e">
        <f>AND(List1!F70,"AAAAAHfX72Y=")</f>
        <v>#VALUE!</v>
      </c>
      <c r="CZ9" t="e">
        <f>AND(List1!G70,"AAAAAHfX72c=")</f>
        <v>#VALUE!</v>
      </c>
      <c r="DA9" t="e">
        <f>AND(List1!H70,"AAAAAHfX72g=")</f>
        <v>#VALUE!</v>
      </c>
      <c r="DB9" t="e">
        <f>AND(List1!I70,"AAAAAHfX72k=")</f>
        <v>#VALUE!</v>
      </c>
      <c r="DC9" t="e">
        <f>AND(List1!J70,"AAAAAHfX72o=")</f>
        <v>#VALUE!</v>
      </c>
      <c r="DD9" t="e">
        <f>AND(List1!K70,"AAAAAHfX72s=")</f>
        <v>#VALUE!</v>
      </c>
      <c r="DE9" t="e">
        <f>AND(List1!L70,"AAAAAHfX72w=")</f>
        <v>#VALUE!</v>
      </c>
      <c r="DF9" t="e">
        <f>AND(List1!M70,"AAAAAHfX720=")</f>
        <v>#VALUE!</v>
      </c>
      <c r="DG9" t="e">
        <f>AND(List1!N70,"AAAAAHfX724=")</f>
        <v>#VALUE!</v>
      </c>
      <c r="DH9" t="e">
        <f>AND(List1!O70,"AAAAAHfX728=")</f>
        <v>#VALUE!</v>
      </c>
      <c r="DI9" t="e">
        <f>AND(List1!P70,"AAAAAHfX73A=")</f>
        <v>#VALUE!</v>
      </c>
      <c r="DJ9" t="e">
        <f>AND(List1!Q70,"AAAAAHfX73E=")</f>
        <v>#VALUE!</v>
      </c>
      <c r="DK9" t="e">
        <f>AND(List1!R70,"AAAAAHfX73I=")</f>
        <v>#VALUE!</v>
      </c>
      <c r="DL9" t="e">
        <f>AND(List1!S70,"AAAAAHfX73M=")</f>
        <v>#VALUE!</v>
      </c>
      <c r="DM9" t="e">
        <f>AND(List1!T70,"AAAAAHfX73Q=")</f>
        <v>#VALUE!</v>
      </c>
      <c r="DN9" t="e">
        <f>AND(List1!U70,"AAAAAHfX73U=")</f>
        <v>#VALUE!</v>
      </c>
      <c r="DO9" t="e">
        <f>AND(List1!V70,"AAAAAHfX73Y=")</f>
        <v>#VALUE!</v>
      </c>
      <c r="DP9" t="e">
        <f>AND(List1!W70,"AAAAAHfX73c=")</f>
        <v>#VALUE!</v>
      </c>
      <c r="DQ9" t="e">
        <f>AND(List1!X70,"AAAAAHfX73g=")</f>
        <v>#VALUE!</v>
      </c>
      <c r="DR9" t="e">
        <f>AND(List1!Y70,"AAAAAHfX73k=")</f>
        <v>#VALUE!</v>
      </c>
      <c r="DS9" t="e">
        <f>AND(List1!Z70,"AAAAAHfX73o=")</f>
        <v>#VALUE!</v>
      </c>
      <c r="DT9" t="e">
        <f>AND(List1!AA70,"AAAAAHfX73s=")</f>
        <v>#VALUE!</v>
      </c>
      <c r="DU9" t="e">
        <f>AND(List1!AB70,"AAAAAHfX73w=")</f>
        <v>#VALUE!</v>
      </c>
      <c r="DV9" t="e">
        <f>AND(List1!AC70,"AAAAAHfX730=")</f>
        <v>#VALUE!</v>
      </c>
      <c r="DW9" t="e">
        <f>AND(List1!AD70,"AAAAAHfX734=")</f>
        <v>#VALUE!</v>
      </c>
      <c r="DX9" t="e">
        <f>AND(List1!AE70,"AAAAAHfX738=")</f>
        <v>#VALUE!</v>
      </c>
      <c r="DY9">
        <f>IF(List1!71:71,"AAAAAHfX74A=",0)</f>
        <v>0</v>
      </c>
      <c r="DZ9" t="e">
        <f>AND(List1!A71,"AAAAAHfX74E=")</f>
        <v>#VALUE!</v>
      </c>
      <c r="EA9" t="e">
        <f>AND(List1!B71,"AAAAAHfX74I=")</f>
        <v>#VALUE!</v>
      </c>
      <c r="EB9" t="e">
        <f>AND(List1!C71,"AAAAAHfX74M=")</f>
        <v>#VALUE!</v>
      </c>
      <c r="EC9" t="e">
        <f>AND(List1!D71,"AAAAAHfX74Q=")</f>
        <v>#VALUE!</v>
      </c>
      <c r="ED9" t="e">
        <f>AND(List1!E71,"AAAAAHfX74U=")</f>
        <v>#VALUE!</v>
      </c>
      <c r="EE9" t="e">
        <f>AND(List1!F71,"AAAAAHfX74Y=")</f>
        <v>#VALUE!</v>
      </c>
      <c r="EF9" t="e">
        <f>AND(List1!G71,"AAAAAHfX74c=")</f>
        <v>#VALUE!</v>
      </c>
      <c r="EG9" t="e">
        <f>AND(List1!H71,"AAAAAHfX74g=")</f>
        <v>#VALUE!</v>
      </c>
      <c r="EH9" t="e">
        <f>AND(List1!I71,"AAAAAHfX74k=")</f>
        <v>#VALUE!</v>
      </c>
      <c r="EI9" t="e">
        <f>AND(List1!J71,"AAAAAHfX74o=")</f>
        <v>#VALUE!</v>
      </c>
      <c r="EJ9" t="e">
        <f>AND(List1!K71,"AAAAAHfX74s=")</f>
        <v>#VALUE!</v>
      </c>
      <c r="EK9" t="e">
        <f>AND(List1!L71,"AAAAAHfX74w=")</f>
        <v>#VALUE!</v>
      </c>
      <c r="EL9" t="e">
        <f>AND(List1!M71,"AAAAAHfX740=")</f>
        <v>#VALUE!</v>
      </c>
      <c r="EM9" t="e">
        <f>AND(List1!N71,"AAAAAHfX744=")</f>
        <v>#VALUE!</v>
      </c>
      <c r="EN9" t="e">
        <f>AND(List1!O71,"AAAAAHfX748=")</f>
        <v>#VALUE!</v>
      </c>
      <c r="EO9" t="e">
        <f>AND(List1!P71,"AAAAAHfX75A=")</f>
        <v>#VALUE!</v>
      </c>
      <c r="EP9" t="e">
        <f>AND(List1!Q71,"AAAAAHfX75E=")</f>
        <v>#VALUE!</v>
      </c>
      <c r="EQ9" t="e">
        <f>AND(List1!R71,"AAAAAHfX75I=")</f>
        <v>#VALUE!</v>
      </c>
      <c r="ER9" t="e">
        <f>AND(List1!S71,"AAAAAHfX75M=")</f>
        <v>#VALUE!</v>
      </c>
      <c r="ES9" t="e">
        <f>AND(List1!T71,"AAAAAHfX75Q=")</f>
        <v>#VALUE!</v>
      </c>
      <c r="ET9" t="e">
        <f>AND(List1!U71,"AAAAAHfX75U=")</f>
        <v>#VALUE!</v>
      </c>
      <c r="EU9" t="e">
        <f>AND(List1!V71,"AAAAAHfX75Y=")</f>
        <v>#VALUE!</v>
      </c>
      <c r="EV9" t="e">
        <f>AND(List1!W71,"AAAAAHfX75c=")</f>
        <v>#VALUE!</v>
      </c>
      <c r="EW9" t="e">
        <f>AND(List1!X71,"AAAAAHfX75g=")</f>
        <v>#VALUE!</v>
      </c>
      <c r="EX9" t="e">
        <f>AND(List1!Y71,"AAAAAHfX75k=")</f>
        <v>#VALUE!</v>
      </c>
      <c r="EY9" t="e">
        <f>AND(List1!Z71,"AAAAAHfX75o=")</f>
        <v>#VALUE!</v>
      </c>
      <c r="EZ9" t="e">
        <f>AND(List1!AA71,"AAAAAHfX75s=")</f>
        <v>#VALUE!</v>
      </c>
      <c r="FA9" t="e">
        <f>AND(List1!AB71,"AAAAAHfX75w=")</f>
        <v>#VALUE!</v>
      </c>
      <c r="FB9" t="e">
        <f>AND(List1!AC71,"AAAAAHfX750=")</f>
        <v>#VALUE!</v>
      </c>
      <c r="FC9" t="e">
        <f>AND(List1!AD71,"AAAAAHfX754=")</f>
        <v>#VALUE!</v>
      </c>
      <c r="FD9" t="e">
        <f>AND(List1!AE71,"AAAAAHfX758=")</f>
        <v>#VALUE!</v>
      </c>
      <c r="FE9">
        <f>IF(List1!72:72,"AAAAAHfX76A=",0)</f>
        <v>0</v>
      </c>
      <c r="FF9" t="e">
        <f>AND(List1!A72,"AAAAAHfX76E=")</f>
        <v>#VALUE!</v>
      </c>
      <c r="FG9" t="e">
        <f>AND(List1!B72,"AAAAAHfX76I=")</f>
        <v>#VALUE!</v>
      </c>
      <c r="FH9" t="e">
        <f>AND(List1!C72,"AAAAAHfX76M=")</f>
        <v>#VALUE!</v>
      </c>
      <c r="FI9" t="e">
        <f>AND(List1!D72,"AAAAAHfX76Q=")</f>
        <v>#VALUE!</v>
      </c>
      <c r="FJ9" t="e">
        <f>AND(List1!E72,"AAAAAHfX76U=")</f>
        <v>#VALUE!</v>
      </c>
      <c r="FK9" t="e">
        <f>AND(List1!F72,"AAAAAHfX76Y=")</f>
        <v>#VALUE!</v>
      </c>
      <c r="FL9" t="e">
        <f>AND(List1!G72,"AAAAAHfX76c=")</f>
        <v>#VALUE!</v>
      </c>
      <c r="FM9" t="e">
        <f>AND(List1!H72,"AAAAAHfX76g=")</f>
        <v>#VALUE!</v>
      </c>
      <c r="FN9" t="e">
        <f>AND(List1!I72,"AAAAAHfX76k=")</f>
        <v>#VALUE!</v>
      </c>
      <c r="FO9" t="e">
        <f>AND(List1!J72,"AAAAAHfX76o=")</f>
        <v>#VALUE!</v>
      </c>
      <c r="FP9" t="e">
        <f>AND(List1!K72,"AAAAAHfX76s=")</f>
        <v>#VALUE!</v>
      </c>
      <c r="FQ9" t="e">
        <f>AND(List1!L72,"AAAAAHfX76w=")</f>
        <v>#VALUE!</v>
      </c>
      <c r="FR9" t="e">
        <f>AND(List1!M72,"AAAAAHfX760=")</f>
        <v>#VALUE!</v>
      </c>
      <c r="FS9" t="e">
        <f>AND(List1!N72,"AAAAAHfX764=")</f>
        <v>#VALUE!</v>
      </c>
      <c r="FT9" t="e">
        <f>AND(List1!O72,"AAAAAHfX768=")</f>
        <v>#VALUE!</v>
      </c>
      <c r="FU9" t="e">
        <f>AND(List1!P72,"AAAAAHfX77A=")</f>
        <v>#VALUE!</v>
      </c>
      <c r="FV9" t="e">
        <f>AND(List1!Q72,"AAAAAHfX77E=")</f>
        <v>#VALUE!</v>
      </c>
      <c r="FW9" t="e">
        <f>AND(List1!R72,"AAAAAHfX77I=")</f>
        <v>#VALUE!</v>
      </c>
      <c r="FX9" t="e">
        <f>AND(List1!S72,"AAAAAHfX77M=")</f>
        <v>#VALUE!</v>
      </c>
      <c r="FY9" t="e">
        <f>AND(List1!T72,"AAAAAHfX77Q=")</f>
        <v>#VALUE!</v>
      </c>
      <c r="FZ9" t="e">
        <f>AND(List1!U72,"AAAAAHfX77U=")</f>
        <v>#VALUE!</v>
      </c>
      <c r="GA9" t="e">
        <f>AND(List1!V72,"AAAAAHfX77Y=")</f>
        <v>#VALUE!</v>
      </c>
      <c r="GB9" t="e">
        <f>AND(List1!W72,"AAAAAHfX77c=")</f>
        <v>#VALUE!</v>
      </c>
      <c r="GC9" t="e">
        <f>AND(List1!X72,"AAAAAHfX77g=")</f>
        <v>#VALUE!</v>
      </c>
      <c r="GD9" t="e">
        <f>AND(List1!Y72,"AAAAAHfX77k=")</f>
        <v>#VALUE!</v>
      </c>
      <c r="GE9" t="e">
        <f>AND(List1!Z72,"AAAAAHfX77o=")</f>
        <v>#VALUE!</v>
      </c>
      <c r="GF9" t="e">
        <f>AND(List1!AA72,"AAAAAHfX77s=")</f>
        <v>#VALUE!</v>
      </c>
      <c r="GG9" t="e">
        <f>AND(List1!AB72,"AAAAAHfX77w=")</f>
        <v>#VALUE!</v>
      </c>
      <c r="GH9" t="e">
        <f>AND(List1!AC72,"AAAAAHfX770=")</f>
        <v>#VALUE!</v>
      </c>
      <c r="GI9" t="e">
        <f>AND(List1!AD72,"AAAAAHfX774=")</f>
        <v>#VALUE!</v>
      </c>
      <c r="GJ9" t="e">
        <f>AND(List1!AE72,"AAAAAHfX778=")</f>
        <v>#VALUE!</v>
      </c>
      <c r="GK9">
        <f>IF(List1!73:73,"AAAAAHfX78A=",0)</f>
        <v>0</v>
      </c>
      <c r="GL9" t="e">
        <f>AND(List1!A73,"AAAAAHfX78E=")</f>
        <v>#VALUE!</v>
      </c>
      <c r="GM9" t="e">
        <f>AND(List1!B73,"AAAAAHfX78I=")</f>
        <v>#VALUE!</v>
      </c>
      <c r="GN9" t="e">
        <f>AND(List1!C73,"AAAAAHfX78M=")</f>
        <v>#VALUE!</v>
      </c>
      <c r="GO9" t="e">
        <f>AND(List1!D73,"AAAAAHfX78Q=")</f>
        <v>#VALUE!</v>
      </c>
      <c r="GP9" t="e">
        <f>AND(List1!E73,"AAAAAHfX78U=")</f>
        <v>#VALUE!</v>
      </c>
      <c r="GQ9" t="e">
        <f>AND(List1!F73,"AAAAAHfX78Y=")</f>
        <v>#VALUE!</v>
      </c>
      <c r="GR9" t="e">
        <f>AND(List1!G73,"AAAAAHfX78c=")</f>
        <v>#VALUE!</v>
      </c>
      <c r="GS9" t="e">
        <f>AND(List1!H73,"AAAAAHfX78g=")</f>
        <v>#VALUE!</v>
      </c>
      <c r="GT9" t="e">
        <f>AND(List1!I73,"AAAAAHfX78k=")</f>
        <v>#VALUE!</v>
      </c>
      <c r="GU9" t="e">
        <f>AND(List1!J73,"AAAAAHfX78o=")</f>
        <v>#VALUE!</v>
      </c>
      <c r="GV9" t="e">
        <f>AND(List1!K73,"AAAAAHfX78s=")</f>
        <v>#VALUE!</v>
      </c>
      <c r="GW9" t="e">
        <f>AND(List1!L73,"AAAAAHfX78w=")</f>
        <v>#VALUE!</v>
      </c>
      <c r="GX9" t="e">
        <f>AND(List1!M73,"AAAAAHfX780=")</f>
        <v>#VALUE!</v>
      </c>
      <c r="GY9" t="e">
        <f>AND(List1!N73,"AAAAAHfX784=")</f>
        <v>#VALUE!</v>
      </c>
      <c r="GZ9" t="e">
        <f>AND(List1!O73,"AAAAAHfX788=")</f>
        <v>#VALUE!</v>
      </c>
      <c r="HA9" t="e">
        <f>AND(List1!P73,"AAAAAHfX79A=")</f>
        <v>#VALUE!</v>
      </c>
      <c r="HB9" t="e">
        <f>AND(List1!Q73,"AAAAAHfX79E=")</f>
        <v>#VALUE!</v>
      </c>
      <c r="HC9" t="e">
        <f>AND(List1!R73,"AAAAAHfX79I=")</f>
        <v>#VALUE!</v>
      </c>
      <c r="HD9" t="e">
        <f>AND(List1!S73,"AAAAAHfX79M=")</f>
        <v>#VALUE!</v>
      </c>
      <c r="HE9" t="e">
        <f>AND(List1!T73,"AAAAAHfX79Q=")</f>
        <v>#VALUE!</v>
      </c>
      <c r="HF9" t="e">
        <f>AND(List1!U73,"AAAAAHfX79U=")</f>
        <v>#VALUE!</v>
      </c>
      <c r="HG9" t="e">
        <f>AND(List1!V73,"AAAAAHfX79Y=")</f>
        <v>#VALUE!</v>
      </c>
      <c r="HH9" t="e">
        <f>AND(List1!W73,"AAAAAHfX79c=")</f>
        <v>#VALUE!</v>
      </c>
      <c r="HI9" t="e">
        <f>AND(List1!X73,"AAAAAHfX79g=")</f>
        <v>#VALUE!</v>
      </c>
      <c r="HJ9" t="e">
        <f>AND(List1!Y73,"AAAAAHfX79k=")</f>
        <v>#VALUE!</v>
      </c>
      <c r="HK9" t="e">
        <f>AND(List1!Z73,"AAAAAHfX79o=")</f>
        <v>#VALUE!</v>
      </c>
      <c r="HL9" t="e">
        <f>AND(List1!AA73,"AAAAAHfX79s=")</f>
        <v>#VALUE!</v>
      </c>
      <c r="HM9" t="e">
        <f>AND(List1!AB73,"AAAAAHfX79w=")</f>
        <v>#VALUE!</v>
      </c>
      <c r="HN9" t="e">
        <f>AND(List1!AC73,"AAAAAHfX790=")</f>
        <v>#VALUE!</v>
      </c>
      <c r="HO9" t="e">
        <f>AND(List1!AD73,"AAAAAHfX794=")</f>
        <v>#VALUE!</v>
      </c>
      <c r="HP9" t="e">
        <f>AND(List1!AE73,"AAAAAHfX798=")</f>
        <v>#VALUE!</v>
      </c>
      <c r="HQ9">
        <f>IF(List1!74:74,"AAAAAHfX7+A=",0)</f>
        <v>0</v>
      </c>
      <c r="HR9" t="e">
        <f>AND(List1!A74,"AAAAAHfX7+E=")</f>
        <v>#VALUE!</v>
      </c>
      <c r="HS9" t="e">
        <f>AND(List1!B74,"AAAAAHfX7+I=")</f>
        <v>#VALUE!</v>
      </c>
      <c r="HT9" t="e">
        <f>AND(List1!C74,"AAAAAHfX7+M=")</f>
        <v>#VALUE!</v>
      </c>
      <c r="HU9" t="e">
        <f>AND(List1!D74,"AAAAAHfX7+Q=")</f>
        <v>#VALUE!</v>
      </c>
      <c r="HV9" t="e">
        <f>AND(List1!E74,"AAAAAHfX7+U=")</f>
        <v>#VALUE!</v>
      </c>
      <c r="HW9" t="e">
        <f>AND(List1!F74,"AAAAAHfX7+Y=")</f>
        <v>#VALUE!</v>
      </c>
      <c r="HX9" t="e">
        <f>AND(List1!G74,"AAAAAHfX7+c=")</f>
        <v>#VALUE!</v>
      </c>
      <c r="HY9" t="e">
        <f>AND(List1!H74,"AAAAAHfX7+g=")</f>
        <v>#VALUE!</v>
      </c>
      <c r="HZ9" t="e">
        <f>AND(List1!I74,"AAAAAHfX7+k=")</f>
        <v>#VALUE!</v>
      </c>
      <c r="IA9" t="e">
        <f>AND(List1!J74,"AAAAAHfX7+o=")</f>
        <v>#VALUE!</v>
      </c>
      <c r="IB9" t="e">
        <f>AND(List1!K74,"AAAAAHfX7+s=")</f>
        <v>#VALUE!</v>
      </c>
      <c r="IC9" t="e">
        <f>AND(List1!L74,"AAAAAHfX7+w=")</f>
        <v>#VALUE!</v>
      </c>
      <c r="ID9" t="e">
        <f>AND(List1!M74,"AAAAAHfX7+0=")</f>
        <v>#VALUE!</v>
      </c>
      <c r="IE9" t="e">
        <f>AND(List1!N74,"AAAAAHfX7+4=")</f>
        <v>#VALUE!</v>
      </c>
      <c r="IF9" t="e">
        <f>AND(List1!O74,"AAAAAHfX7+8=")</f>
        <v>#VALUE!</v>
      </c>
      <c r="IG9" t="e">
        <f>AND(List1!P74,"AAAAAHfX7/A=")</f>
        <v>#VALUE!</v>
      </c>
      <c r="IH9" t="e">
        <f>AND(List1!Q74,"AAAAAHfX7/E=")</f>
        <v>#VALUE!</v>
      </c>
      <c r="II9" t="e">
        <f>AND(List1!R74,"AAAAAHfX7/I=")</f>
        <v>#VALUE!</v>
      </c>
      <c r="IJ9" t="e">
        <f>AND(List1!S74,"AAAAAHfX7/M=")</f>
        <v>#VALUE!</v>
      </c>
      <c r="IK9" t="e">
        <f>AND(List1!T74,"AAAAAHfX7/Q=")</f>
        <v>#VALUE!</v>
      </c>
      <c r="IL9" t="e">
        <f>AND(List1!U74,"AAAAAHfX7/U=")</f>
        <v>#VALUE!</v>
      </c>
      <c r="IM9" t="e">
        <f>AND(List1!V74,"AAAAAHfX7/Y=")</f>
        <v>#VALUE!</v>
      </c>
      <c r="IN9" t="e">
        <f>AND(List1!W74,"AAAAAHfX7/c=")</f>
        <v>#VALUE!</v>
      </c>
      <c r="IO9" t="e">
        <f>AND(List1!X74,"AAAAAHfX7/g=")</f>
        <v>#VALUE!</v>
      </c>
      <c r="IP9" t="e">
        <f>AND(List1!Y74,"AAAAAHfX7/k=")</f>
        <v>#VALUE!</v>
      </c>
      <c r="IQ9" t="e">
        <f>AND(List1!Z74,"AAAAAHfX7/o=")</f>
        <v>#VALUE!</v>
      </c>
      <c r="IR9" t="e">
        <f>AND(List1!AA74,"AAAAAHfX7/s=")</f>
        <v>#VALUE!</v>
      </c>
      <c r="IS9" t="e">
        <f>AND(List1!AB74,"AAAAAHfX7/w=")</f>
        <v>#VALUE!</v>
      </c>
      <c r="IT9" t="e">
        <f>AND(List1!AC74,"AAAAAHfX7/0=")</f>
        <v>#VALUE!</v>
      </c>
      <c r="IU9" t="e">
        <f>AND(List1!AD74,"AAAAAHfX7/4=")</f>
        <v>#VALUE!</v>
      </c>
      <c r="IV9" t="e">
        <f>AND(List1!AE74,"AAAAAHfX7/8=")</f>
        <v>#VALUE!</v>
      </c>
    </row>
    <row r="10" spans="1:256" x14ac:dyDescent="0.25">
      <c r="A10">
        <f>IF(List1!75:75,"AAAAAG/8XAA=",0)</f>
        <v>0</v>
      </c>
      <c r="B10" t="e">
        <f>AND(List1!A75,"AAAAAG/8XAE=")</f>
        <v>#VALUE!</v>
      </c>
      <c r="C10" t="e">
        <f>AND(List1!B75,"AAAAAG/8XAI=")</f>
        <v>#VALUE!</v>
      </c>
      <c r="D10" t="e">
        <f>AND(List1!C75,"AAAAAG/8XAM=")</f>
        <v>#VALUE!</v>
      </c>
      <c r="E10" t="e">
        <f>AND(List1!D75,"AAAAAG/8XAQ=")</f>
        <v>#VALUE!</v>
      </c>
      <c r="F10" t="e">
        <f>AND(List1!E75,"AAAAAG/8XAU=")</f>
        <v>#VALUE!</v>
      </c>
      <c r="G10" t="e">
        <f>AND(List1!F75,"AAAAAG/8XAY=")</f>
        <v>#VALUE!</v>
      </c>
      <c r="H10" t="e">
        <f>AND(List1!G75,"AAAAAG/8XAc=")</f>
        <v>#VALUE!</v>
      </c>
      <c r="I10" t="e">
        <f>AND(List1!H75,"AAAAAG/8XAg=")</f>
        <v>#VALUE!</v>
      </c>
      <c r="J10" t="e">
        <f>AND(List1!I75,"AAAAAG/8XAk=")</f>
        <v>#VALUE!</v>
      </c>
      <c r="K10" t="e">
        <f>AND(List1!J75,"AAAAAG/8XAo=")</f>
        <v>#VALUE!</v>
      </c>
      <c r="L10" t="e">
        <f>AND(List1!K75,"AAAAAG/8XAs=")</f>
        <v>#VALUE!</v>
      </c>
      <c r="M10" t="e">
        <f>AND(List1!L75,"AAAAAG/8XAw=")</f>
        <v>#VALUE!</v>
      </c>
      <c r="N10" t="e">
        <f>AND(List1!M75,"AAAAAG/8XA0=")</f>
        <v>#VALUE!</v>
      </c>
      <c r="O10" t="e">
        <f>AND(List1!N75,"AAAAAG/8XA4=")</f>
        <v>#VALUE!</v>
      </c>
      <c r="P10" t="e">
        <f>AND(List1!O75,"AAAAAG/8XA8=")</f>
        <v>#VALUE!</v>
      </c>
      <c r="Q10" t="e">
        <f>AND(List1!P75,"AAAAAG/8XBA=")</f>
        <v>#VALUE!</v>
      </c>
      <c r="R10" t="e">
        <f>AND(List1!Q75,"AAAAAG/8XBE=")</f>
        <v>#VALUE!</v>
      </c>
      <c r="S10" t="e">
        <f>AND(List1!R75,"AAAAAG/8XBI=")</f>
        <v>#VALUE!</v>
      </c>
      <c r="T10" t="e">
        <f>AND(List1!S75,"AAAAAG/8XBM=")</f>
        <v>#VALUE!</v>
      </c>
      <c r="U10" t="e">
        <f>AND(List1!T75,"AAAAAG/8XBQ=")</f>
        <v>#VALUE!</v>
      </c>
      <c r="V10" t="e">
        <f>AND(List1!U75,"AAAAAG/8XBU=")</f>
        <v>#VALUE!</v>
      </c>
      <c r="W10" t="e">
        <f>AND(List1!V75,"AAAAAG/8XBY=")</f>
        <v>#VALUE!</v>
      </c>
      <c r="X10" t="e">
        <f>AND(List1!W75,"AAAAAG/8XBc=")</f>
        <v>#VALUE!</v>
      </c>
      <c r="Y10" t="e">
        <f>AND(List1!X75,"AAAAAG/8XBg=")</f>
        <v>#VALUE!</v>
      </c>
      <c r="Z10" t="e">
        <f>AND(List1!Y75,"AAAAAG/8XBk=")</f>
        <v>#VALUE!</v>
      </c>
      <c r="AA10" t="e">
        <f>AND(List1!Z75,"AAAAAG/8XBo=")</f>
        <v>#VALUE!</v>
      </c>
      <c r="AB10" t="e">
        <f>AND(List1!AA75,"AAAAAG/8XBs=")</f>
        <v>#VALUE!</v>
      </c>
      <c r="AC10" t="e">
        <f>AND(List1!AB75,"AAAAAG/8XBw=")</f>
        <v>#VALUE!</v>
      </c>
      <c r="AD10" t="e">
        <f>AND(List1!AC75,"AAAAAG/8XB0=")</f>
        <v>#VALUE!</v>
      </c>
      <c r="AE10" t="e">
        <f>AND(List1!AD75,"AAAAAG/8XB4=")</f>
        <v>#VALUE!</v>
      </c>
      <c r="AF10" t="e">
        <f>AND(List1!AE75,"AAAAAG/8XB8=")</f>
        <v>#VALUE!</v>
      </c>
      <c r="AG10">
        <f>IF(List1!76:76,"AAAAAG/8XCA=",0)</f>
        <v>0</v>
      </c>
      <c r="AH10" t="e">
        <f>AND(List1!A76,"AAAAAG/8XCE=")</f>
        <v>#VALUE!</v>
      </c>
      <c r="AI10" t="e">
        <f>AND(List1!B76,"AAAAAG/8XCI=")</f>
        <v>#VALUE!</v>
      </c>
      <c r="AJ10" t="e">
        <f>AND(List1!C76,"AAAAAG/8XCM=")</f>
        <v>#VALUE!</v>
      </c>
      <c r="AK10" t="e">
        <f>AND(List1!D76,"AAAAAG/8XCQ=")</f>
        <v>#VALUE!</v>
      </c>
      <c r="AL10" t="e">
        <f>AND(List1!E76,"AAAAAG/8XCU=")</f>
        <v>#VALUE!</v>
      </c>
      <c r="AM10" t="e">
        <f>AND(List1!F76,"AAAAAG/8XCY=")</f>
        <v>#VALUE!</v>
      </c>
      <c r="AN10" t="e">
        <f>AND(List1!G76,"AAAAAG/8XCc=")</f>
        <v>#VALUE!</v>
      </c>
      <c r="AO10" t="e">
        <f>AND(List1!H76,"AAAAAG/8XCg=")</f>
        <v>#VALUE!</v>
      </c>
      <c r="AP10" t="e">
        <f>AND(List1!I76,"AAAAAG/8XCk=")</f>
        <v>#VALUE!</v>
      </c>
      <c r="AQ10" t="e">
        <f>AND(List1!J76,"AAAAAG/8XCo=")</f>
        <v>#VALUE!</v>
      </c>
      <c r="AR10" t="e">
        <f>AND(List1!K76,"AAAAAG/8XCs=")</f>
        <v>#VALUE!</v>
      </c>
      <c r="AS10" t="e">
        <f>AND(List1!L76,"AAAAAG/8XCw=")</f>
        <v>#VALUE!</v>
      </c>
      <c r="AT10" t="e">
        <f>AND(List1!M76,"AAAAAG/8XC0=")</f>
        <v>#VALUE!</v>
      </c>
      <c r="AU10" t="e">
        <f>AND(List1!N76,"AAAAAG/8XC4=")</f>
        <v>#VALUE!</v>
      </c>
      <c r="AV10" t="e">
        <f>AND(List1!O76,"AAAAAG/8XC8=")</f>
        <v>#VALUE!</v>
      </c>
      <c r="AW10" t="e">
        <f>AND(List1!P76,"AAAAAG/8XDA=")</f>
        <v>#VALUE!</v>
      </c>
      <c r="AX10" t="e">
        <f>AND(List1!Q76,"AAAAAG/8XDE=")</f>
        <v>#VALUE!</v>
      </c>
      <c r="AY10" t="e">
        <f>AND(List1!R76,"AAAAAG/8XDI=")</f>
        <v>#VALUE!</v>
      </c>
      <c r="AZ10" t="e">
        <f>AND(List1!S76,"AAAAAG/8XDM=")</f>
        <v>#VALUE!</v>
      </c>
      <c r="BA10" t="e">
        <f>AND(List1!T76,"AAAAAG/8XDQ=")</f>
        <v>#VALUE!</v>
      </c>
      <c r="BB10" t="e">
        <f>AND(List1!U76,"AAAAAG/8XDU=")</f>
        <v>#VALUE!</v>
      </c>
      <c r="BC10" t="e">
        <f>AND(List1!V76,"AAAAAG/8XDY=")</f>
        <v>#VALUE!</v>
      </c>
      <c r="BD10" t="e">
        <f>AND(List1!W76,"AAAAAG/8XDc=")</f>
        <v>#VALUE!</v>
      </c>
      <c r="BE10" t="e">
        <f>AND(List1!X76,"AAAAAG/8XDg=")</f>
        <v>#VALUE!</v>
      </c>
      <c r="BF10" t="e">
        <f>AND(List1!Y76,"AAAAAG/8XDk=")</f>
        <v>#VALUE!</v>
      </c>
      <c r="BG10" t="e">
        <f>AND(List1!Z76,"AAAAAG/8XDo=")</f>
        <v>#VALUE!</v>
      </c>
      <c r="BH10" t="e">
        <f>AND(List1!AA76,"AAAAAG/8XDs=")</f>
        <v>#VALUE!</v>
      </c>
      <c r="BI10" t="e">
        <f>AND(List1!AB76,"AAAAAG/8XDw=")</f>
        <v>#VALUE!</v>
      </c>
      <c r="BJ10" t="e">
        <f>AND(List1!AC76,"AAAAAG/8XD0=")</f>
        <v>#VALUE!</v>
      </c>
      <c r="BK10" t="e">
        <f>AND(List1!AD76,"AAAAAG/8XD4=")</f>
        <v>#VALUE!</v>
      </c>
      <c r="BL10" t="e">
        <f>AND(List1!AE76,"AAAAAG/8XD8=")</f>
        <v>#VALUE!</v>
      </c>
      <c r="BM10">
        <f>IF(List1!77:77,"AAAAAG/8XEA=",0)</f>
        <v>0</v>
      </c>
      <c r="BN10" t="e">
        <f>AND(List1!A77,"AAAAAG/8XEE=")</f>
        <v>#VALUE!</v>
      </c>
      <c r="BO10" t="e">
        <f>AND(List1!B77,"AAAAAG/8XEI=")</f>
        <v>#VALUE!</v>
      </c>
      <c r="BP10" t="e">
        <f>AND(List1!C77,"AAAAAG/8XEM=")</f>
        <v>#VALUE!</v>
      </c>
      <c r="BQ10" t="e">
        <f>AND(List1!D77,"AAAAAG/8XEQ=")</f>
        <v>#VALUE!</v>
      </c>
      <c r="BR10" t="e">
        <f>AND(List1!E77,"AAAAAG/8XEU=")</f>
        <v>#VALUE!</v>
      </c>
      <c r="BS10" t="e">
        <f>AND(List1!F77,"AAAAAG/8XEY=")</f>
        <v>#VALUE!</v>
      </c>
      <c r="BT10" t="e">
        <f>AND(List1!G77,"AAAAAG/8XEc=")</f>
        <v>#VALUE!</v>
      </c>
      <c r="BU10" t="e">
        <f>AND(List1!H77,"AAAAAG/8XEg=")</f>
        <v>#VALUE!</v>
      </c>
      <c r="BV10" t="e">
        <f>AND(List1!I77,"AAAAAG/8XEk=")</f>
        <v>#VALUE!</v>
      </c>
      <c r="BW10" t="e">
        <f>AND(List1!J77,"AAAAAG/8XEo=")</f>
        <v>#VALUE!</v>
      </c>
      <c r="BX10" t="e">
        <f>AND(List1!K77,"AAAAAG/8XEs=")</f>
        <v>#VALUE!</v>
      </c>
      <c r="BY10" t="e">
        <f>AND(List1!L77,"AAAAAG/8XEw=")</f>
        <v>#VALUE!</v>
      </c>
      <c r="BZ10" t="e">
        <f>AND(List1!M77,"AAAAAG/8XE0=")</f>
        <v>#VALUE!</v>
      </c>
      <c r="CA10" t="e">
        <f>AND(List1!N77,"AAAAAG/8XE4=")</f>
        <v>#VALUE!</v>
      </c>
      <c r="CB10" t="e">
        <f>AND(List1!O77,"AAAAAG/8XE8=")</f>
        <v>#VALUE!</v>
      </c>
      <c r="CC10" t="e">
        <f>AND(List1!P77,"AAAAAG/8XFA=")</f>
        <v>#VALUE!</v>
      </c>
      <c r="CD10" t="e">
        <f>AND(List1!Q77,"AAAAAG/8XFE=")</f>
        <v>#VALUE!</v>
      </c>
      <c r="CE10" t="e">
        <f>AND(List1!R77,"AAAAAG/8XFI=")</f>
        <v>#VALUE!</v>
      </c>
      <c r="CF10" t="e">
        <f>AND(List1!S77,"AAAAAG/8XFM=")</f>
        <v>#VALUE!</v>
      </c>
      <c r="CG10" t="e">
        <f>AND(List1!T77,"AAAAAG/8XFQ=")</f>
        <v>#VALUE!</v>
      </c>
      <c r="CH10" t="e">
        <f>AND(List1!U77,"AAAAAG/8XFU=")</f>
        <v>#VALUE!</v>
      </c>
      <c r="CI10" t="e">
        <f>AND(List1!V77,"AAAAAG/8XFY=")</f>
        <v>#VALUE!</v>
      </c>
      <c r="CJ10" t="e">
        <f>AND(List1!W77,"AAAAAG/8XFc=")</f>
        <v>#VALUE!</v>
      </c>
      <c r="CK10" t="e">
        <f>AND(List1!X77,"AAAAAG/8XFg=")</f>
        <v>#VALUE!</v>
      </c>
      <c r="CL10" t="e">
        <f>AND(List1!Y77,"AAAAAG/8XFk=")</f>
        <v>#VALUE!</v>
      </c>
      <c r="CM10" t="e">
        <f>AND(List1!Z77,"AAAAAG/8XFo=")</f>
        <v>#VALUE!</v>
      </c>
      <c r="CN10" t="e">
        <f>AND(List1!AA77,"AAAAAG/8XFs=")</f>
        <v>#VALUE!</v>
      </c>
      <c r="CO10" t="e">
        <f>AND(List1!AB77,"AAAAAG/8XFw=")</f>
        <v>#VALUE!</v>
      </c>
      <c r="CP10" t="e">
        <f>AND(List1!AC77,"AAAAAG/8XF0=")</f>
        <v>#VALUE!</v>
      </c>
      <c r="CQ10" t="e">
        <f>AND(List1!AD77,"AAAAAG/8XF4=")</f>
        <v>#VALUE!</v>
      </c>
      <c r="CR10" t="e">
        <f>AND(List1!AE77,"AAAAAG/8XF8=")</f>
        <v>#VALUE!</v>
      </c>
      <c r="CS10">
        <f>IF(List1!78:78,"AAAAAG/8XGA=",0)</f>
        <v>0</v>
      </c>
      <c r="CT10" t="e">
        <f>AND(List1!A78,"AAAAAG/8XGE=")</f>
        <v>#VALUE!</v>
      </c>
      <c r="CU10" t="e">
        <f>AND(List1!B78,"AAAAAG/8XGI=")</f>
        <v>#VALUE!</v>
      </c>
      <c r="CV10" t="e">
        <f>AND(List1!C78,"AAAAAG/8XGM=")</f>
        <v>#VALUE!</v>
      </c>
      <c r="CW10" t="e">
        <f>AND(List1!D78,"AAAAAG/8XGQ=")</f>
        <v>#VALUE!</v>
      </c>
      <c r="CX10" t="e">
        <f>AND(List1!E78,"AAAAAG/8XGU=")</f>
        <v>#VALUE!</v>
      </c>
      <c r="CY10" t="e">
        <f>AND(List1!F78,"AAAAAG/8XGY=")</f>
        <v>#VALUE!</v>
      </c>
      <c r="CZ10" t="e">
        <f>AND(List1!G78,"AAAAAG/8XGc=")</f>
        <v>#VALUE!</v>
      </c>
      <c r="DA10" t="e">
        <f>AND(List1!H78,"AAAAAG/8XGg=")</f>
        <v>#VALUE!</v>
      </c>
      <c r="DB10" t="e">
        <f>AND(List1!I78,"AAAAAG/8XGk=")</f>
        <v>#VALUE!</v>
      </c>
      <c r="DC10" t="e">
        <f>AND(List1!J78,"AAAAAG/8XGo=")</f>
        <v>#VALUE!</v>
      </c>
      <c r="DD10" t="e">
        <f>AND(List1!K78,"AAAAAG/8XGs=")</f>
        <v>#VALUE!</v>
      </c>
      <c r="DE10" t="e">
        <f>AND(List1!L78,"AAAAAG/8XGw=")</f>
        <v>#VALUE!</v>
      </c>
      <c r="DF10" t="e">
        <f>AND(List1!M78,"AAAAAG/8XG0=")</f>
        <v>#VALUE!</v>
      </c>
      <c r="DG10" t="e">
        <f>AND(List1!N78,"AAAAAG/8XG4=")</f>
        <v>#VALUE!</v>
      </c>
      <c r="DH10" t="e">
        <f>AND(List1!O78,"AAAAAG/8XG8=")</f>
        <v>#VALUE!</v>
      </c>
      <c r="DI10" t="e">
        <f>AND(List1!P78,"AAAAAG/8XHA=")</f>
        <v>#VALUE!</v>
      </c>
      <c r="DJ10" t="e">
        <f>AND(List1!Q78,"AAAAAG/8XHE=")</f>
        <v>#VALUE!</v>
      </c>
      <c r="DK10" t="e">
        <f>AND(List1!R78,"AAAAAG/8XHI=")</f>
        <v>#VALUE!</v>
      </c>
      <c r="DL10" t="e">
        <f>AND(List1!S78,"AAAAAG/8XHM=")</f>
        <v>#VALUE!</v>
      </c>
      <c r="DM10" t="e">
        <f>AND(List1!T78,"AAAAAG/8XHQ=")</f>
        <v>#VALUE!</v>
      </c>
      <c r="DN10" t="e">
        <f>AND(List1!U78,"AAAAAG/8XHU=")</f>
        <v>#VALUE!</v>
      </c>
      <c r="DO10" t="e">
        <f>AND(List1!V78,"AAAAAG/8XHY=")</f>
        <v>#VALUE!</v>
      </c>
      <c r="DP10" t="e">
        <f>AND(List1!W78,"AAAAAG/8XHc=")</f>
        <v>#VALUE!</v>
      </c>
      <c r="DQ10" t="e">
        <f>AND(List1!X78,"AAAAAG/8XHg=")</f>
        <v>#VALUE!</v>
      </c>
      <c r="DR10" t="e">
        <f>AND(List1!Y78,"AAAAAG/8XHk=")</f>
        <v>#VALUE!</v>
      </c>
      <c r="DS10" t="e">
        <f>AND(List1!Z78,"AAAAAG/8XHo=")</f>
        <v>#VALUE!</v>
      </c>
      <c r="DT10" t="e">
        <f>AND(List1!AA78,"AAAAAG/8XHs=")</f>
        <v>#VALUE!</v>
      </c>
      <c r="DU10" t="e">
        <f>AND(List1!AB78,"AAAAAG/8XHw=")</f>
        <v>#VALUE!</v>
      </c>
      <c r="DV10" t="e">
        <f>AND(List1!AC78,"AAAAAG/8XH0=")</f>
        <v>#VALUE!</v>
      </c>
      <c r="DW10" t="e">
        <f>AND(List1!AD78,"AAAAAG/8XH4=")</f>
        <v>#VALUE!</v>
      </c>
      <c r="DX10" t="e">
        <f>AND(List1!AE78,"AAAAAG/8XH8=")</f>
        <v>#VALUE!</v>
      </c>
      <c r="DY10">
        <f>IF(List1!79:79,"AAAAAG/8XIA=",0)</f>
        <v>0</v>
      </c>
      <c r="DZ10" t="e">
        <f>AND(List1!A79,"AAAAAG/8XIE=")</f>
        <v>#VALUE!</v>
      </c>
      <c r="EA10" t="e">
        <f>AND(List1!B79,"AAAAAG/8XII=")</f>
        <v>#VALUE!</v>
      </c>
      <c r="EB10" t="e">
        <f>AND(List1!C79,"AAAAAG/8XIM=")</f>
        <v>#VALUE!</v>
      </c>
      <c r="EC10" t="e">
        <f>AND(List1!D79,"AAAAAG/8XIQ=")</f>
        <v>#VALUE!</v>
      </c>
      <c r="ED10" t="e">
        <f>AND(List1!E79,"AAAAAG/8XIU=")</f>
        <v>#VALUE!</v>
      </c>
      <c r="EE10" t="e">
        <f>AND(List1!F79,"AAAAAG/8XIY=")</f>
        <v>#VALUE!</v>
      </c>
      <c r="EF10" t="e">
        <f>AND(List1!G79,"AAAAAG/8XIc=")</f>
        <v>#VALUE!</v>
      </c>
      <c r="EG10" t="e">
        <f>AND(List1!H79,"AAAAAG/8XIg=")</f>
        <v>#VALUE!</v>
      </c>
      <c r="EH10" t="e">
        <f>AND(List1!I79,"AAAAAG/8XIk=")</f>
        <v>#VALUE!</v>
      </c>
      <c r="EI10" t="e">
        <f>AND(List1!J79,"AAAAAG/8XIo=")</f>
        <v>#VALUE!</v>
      </c>
      <c r="EJ10" t="e">
        <f>AND(List1!K79,"AAAAAG/8XIs=")</f>
        <v>#VALUE!</v>
      </c>
      <c r="EK10" t="e">
        <f>AND(List1!L79,"AAAAAG/8XIw=")</f>
        <v>#VALUE!</v>
      </c>
      <c r="EL10" t="e">
        <f>AND(List1!M79,"AAAAAG/8XI0=")</f>
        <v>#VALUE!</v>
      </c>
      <c r="EM10" t="e">
        <f>AND(List1!N79,"AAAAAG/8XI4=")</f>
        <v>#VALUE!</v>
      </c>
      <c r="EN10" t="e">
        <f>AND(List1!O79,"AAAAAG/8XI8=")</f>
        <v>#VALUE!</v>
      </c>
      <c r="EO10" t="e">
        <f>AND(List1!P79,"AAAAAG/8XJA=")</f>
        <v>#VALUE!</v>
      </c>
      <c r="EP10" t="e">
        <f>AND(List1!Q79,"AAAAAG/8XJE=")</f>
        <v>#VALUE!</v>
      </c>
      <c r="EQ10" t="e">
        <f>AND(List1!R79,"AAAAAG/8XJI=")</f>
        <v>#VALUE!</v>
      </c>
      <c r="ER10" t="e">
        <f>AND(List1!S79,"AAAAAG/8XJM=")</f>
        <v>#VALUE!</v>
      </c>
      <c r="ES10" t="e">
        <f>AND(List1!T79,"AAAAAG/8XJQ=")</f>
        <v>#VALUE!</v>
      </c>
      <c r="ET10" t="e">
        <f>AND(List1!U79,"AAAAAG/8XJU=")</f>
        <v>#VALUE!</v>
      </c>
      <c r="EU10" t="e">
        <f>AND(List1!V79,"AAAAAG/8XJY=")</f>
        <v>#VALUE!</v>
      </c>
      <c r="EV10" t="e">
        <f>AND(List1!W79,"AAAAAG/8XJc=")</f>
        <v>#VALUE!</v>
      </c>
      <c r="EW10" t="e">
        <f>AND(List1!X79,"AAAAAG/8XJg=")</f>
        <v>#VALUE!</v>
      </c>
      <c r="EX10" t="e">
        <f>AND(List1!Y79,"AAAAAG/8XJk=")</f>
        <v>#VALUE!</v>
      </c>
      <c r="EY10" t="e">
        <f>AND(List1!Z79,"AAAAAG/8XJo=")</f>
        <v>#VALUE!</v>
      </c>
      <c r="EZ10" t="e">
        <f>AND(List1!AA79,"AAAAAG/8XJs=")</f>
        <v>#VALUE!</v>
      </c>
      <c r="FA10" t="e">
        <f>AND(List1!AB79,"AAAAAG/8XJw=")</f>
        <v>#VALUE!</v>
      </c>
      <c r="FB10" t="e">
        <f>AND(List1!AC79,"AAAAAG/8XJ0=")</f>
        <v>#VALUE!</v>
      </c>
      <c r="FC10" t="e">
        <f>AND(List1!AD79,"AAAAAG/8XJ4=")</f>
        <v>#VALUE!</v>
      </c>
      <c r="FD10" t="e">
        <f>AND(List1!AE79,"AAAAAG/8XJ8=")</f>
        <v>#VALUE!</v>
      </c>
      <c r="FE10">
        <f>IF(List1!80:80,"AAAAAG/8XKA=",0)</f>
        <v>0</v>
      </c>
      <c r="FF10" t="e">
        <f>AND(List1!A80,"AAAAAG/8XKE=")</f>
        <v>#VALUE!</v>
      </c>
      <c r="FG10" t="e">
        <f>AND(List1!B80,"AAAAAG/8XKI=")</f>
        <v>#VALUE!</v>
      </c>
      <c r="FH10" t="e">
        <f>AND(List1!C80,"AAAAAG/8XKM=")</f>
        <v>#VALUE!</v>
      </c>
      <c r="FI10" t="e">
        <f>AND(List1!D80,"AAAAAG/8XKQ=")</f>
        <v>#VALUE!</v>
      </c>
      <c r="FJ10" t="e">
        <f>AND(List1!E80,"AAAAAG/8XKU=")</f>
        <v>#VALUE!</v>
      </c>
      <c r="FK10" t="e">
        <f>AND(List1!F80,"AAAAAG/8XKY=")</f>
        <v>#VALUE!</v>
      </c>
      <c r="FL10" t="e">
        <f>AND(List1!G80,"AAAAAG/8XKc=")</f>
        <v>#VALUE!</v>
      </c>
      <c r="FM10" t="e">
        <f>AND(List1!H80,"AAAAAG/8XKg=")</f>
        <v>#VALUE!</v>
      </c>
      <c r="FN10" t="e">
        <f>AND(List1!I80,"AAAAAG/8XKk=")</f>
        <v>#VALUE!</v>
      </c>
      <c r="FO10" t="e">
        <f>AND(List1!J80,"AAAAAG/8XKo=")</f>
        <v>#VALUE!</v>
      </c>
      <c r="FP10" t="e">
        <f>AND(List1!K80,"AAAAAG/8XKs=")</f>
        <v>#VALUE!</v>
      </c>
      <c r="FQ10" t="e">
        <f>AND(List1!L80,"AAAAAG/8XKw=")</f>
        <v>#VALUE!</v>
      </c>
      <c r="FR10" t="e">
        <f>AND(List1!M80,"AAAAAG/8XK0=")</f>
        <v>#VALUE!</v>
      </c>
      <c r="FS10" t="e">
        <f>AND(List1!N80,"AAAAAG/8XK4=")</f>
        <v>#VALUE!</v>
      </c>
      <c r="FT10" t="e">
        <f>AND(List1!O80,"AAAAAG/8XK8=")</f>
        <v>#VALUE!</v>
      </c>
      <c r="FU10" t="e">
        <f>AND(List1!P80,"AAAAAG/8XLA=")</f>
        <v>#VALUE!</v>
      </c>
      <c r="FV10" t="e">
        <f>AND(List1!Q80,"AAAAAG/8XLE=")</f>
        <v>#VALUE!</v>
      </c>
      <c r="FW10" t="e">
        <f>AND(List1!R80,"AAAAAG/8XLI=")</f>
        <v>#VALUE!</v>
      </c>
      <c r="FX10" t="e">
        <f>AND(List1!S80,"AAAAAG/8XLM=")</f>
        <v>#VALUE!</v>
      </c>
      <c r="FY10" t="e">
        <f>AND(List1!T80,"AAAAAG/8XLQ=")</f>
        <v>#VALUE!</v>
      </c>
      <c r="FZ10" t="e">
        <f>AND(List1!U80,"AAAAAG/8XLU=")</f>
        <v>#VALUE!</v>
      </c>
      <c r="GA10" t="e">
        <f>AND(List1!V80,"AAAAAG/8XLY=")</f>
        <v>#VALUE!</v>
      </c>
      <c r="GB10" t="e">
        <f>AND(List1!W80,"AAAAAG/8XLc=")</f>
        <v>#VALUE!</v>
      </c>
      <c r="GC10" t="e">
        <f>AND(List1!X80,"AAAAAG/8XLg=")</f>
        <v>#VALUE!</v>
      </c>
      <c r="GD10" t="e">
        <f>AND(List1!Y80,"AAAAAG/8XLk=")</f>
        <v>#VALUE!</v>
      </c>
      <c r="GE10" t="e">
        <f>AND(List1!Z80,"AAAAAG/8XLo=")</f>
        <v>#VALUE!</v>
      </c>
      <c r="GF10" t="e">
        <f>AND(List1!AA80,"AAAAAG/8XLs=")</f>
        <v>#VALUE!</v>
      </c>
      <c r="GG10" t="e">
        <f>AND(List1!AB80,"AAAAAG/8XLw=")</f>
        <v>#VALUE!</v>
      </c>
      <c r="GH10" t="e">
        <f>AND(List1!AC80,"AAAAAG/8XL0=")</f>
        <v>#VALUE!</v>
      </c>
      <c r="GI10" t="e">
        <f>AND(List1!AD80,"AAAAAG/8XL4=")</f>
        <v>#VALUE!</v>
      </c>
      <c r="GJ10" t="e">
        <f>AND(List1!AE80,"AAAAAG/8XL8=")</f>
        <v>#VALUE!</v>
      </c>
      <c r="GK10">
        <f>IF(List1!81:81,"AAAAAG/8XMA=",0)</f>
        <v>0</v>
      </c>
      <c r="GL10" t="e">
        <f>AND(List1!A81,"AAAAAG/8XME=")</f>
        <v>#VALUE!</v>
      </c>
      <c r="GM10" t="e">
        <f>AND(List1!B81,"AAAAAG/8XMI=")</f>
        <v>#VALUE!</v>
      </c>
      <c r="GN10" t="e">
        <f>AND(List1!C81,"AAAAAG/8XMM=")</f>
        <v>#VALUE!</v>
      </c>
      <c r="GO10" t="e">
        <f>AND(List1!D81,"AAAAAG/8XMQ=")</f>
        <v>#VALUE!</v>
      </c>
      <c r="GP10" t="e">
        <f>AND(List1!E81,"AAAAAG/8XMU=")</f>
        <v>#VALUE!</v>
      </c>
      <c r="GQ10" t="e">
        <f>AND(List1!F81,"AAAAAG/8XMY=")</f>
        <v>#VALUE!</v>
      </c>
      <c r="GR10" t="e">
        <f>AND(List1!G81,"AAAAAG/8XMc=")</f>
        <v>#VALUE!</v>
      </c>
      <c r="GS10" t="e">
        <f>AND(List1!H81,"AAAAAG/8XMg=")</f>
        <v>#VALUE!</v>
      </c>
      <c r="GT10" t="e">
        <f>AND(List1!I81,"AAAAAG/8XMk=")</f>
        <v>#VALUE!</v>
      </c>
      <c r="GU10" t="e">
        <f>AND(List1!J81,"AAAAAG/8XMo=")</f>
        <v>#VALUE!</v>
      </c>
      <c r="GV10" t="e">
        <f>AND(List1!K81,"AAAAAG/8XMs=")</f>
        <v>#VALUE!</v>
      </c>
      <c r="GW10" t="e">
        <f>AND(List1!L81,"AAAAAG/8XMw=")</f>
        <v>#VALUE!</v>
      </c>
      <c r="GX10" t="e">
        <f>AND(List1!M81,"AAAAAG/8XM0=")</f>
        <v>#VALUE!</v>
      </c>
      <c r="GY10" t="e">
        <f>AND(List1!N81,"AAAAAG/8XM4=")</f>
        <v>#VALUE!</v>
      </c>
      <c r="GZ10" t="e">
        <f>AND(List1!O81,"AAAAAG/8XM8=")</f>
        <v>#VALUE!</v>
      </c>
      <c r="HA10" t="e">
        <f>AND(List1!P81,"AAAAAG/8XNA=")</f>
        <v>#VALUE!</v>
      </c>
      <c r="HB10" t="e">
        <f>AND(List1!Q81,"AAAAAG/8XNE=")</f>
        <v>#VALUE!</v>
      </c>
      <c r="HC10" t="e">
        <f>AND(List1!R81,"AAAAAG/8XNI=")</f>
        <v>#VALUE!</v>
      </c>
      <c r="HD10" t="e">
        <f>AND(List1!S81,"AAAAAG/8XNM=")</f>
        <v>#VALUE!</v>
      </c>
      <c r="HE10" t="e">
        <f>AND(List1!T81,"AAAAAG/8XNQ=")</f>
        <v>#VALUE!</v>
      </c>
      <c r="HF10" t="e">
        <f>AND(List1!U81,"AAAAAG/8XNU=")</f>
        <v>#VALUE!</v>
      </c>
      <c r="HG10" t="e">
        <f>AND(List1!V81,"AAAAAG/8XNY=")</f>
        <v>#VALUE!</v>
      </c>
      <c r="HH10" t="e">
        <f>AND(List1!W81,"AAAAAG/8XNc=")</f>
        <v>#VALUE!</v>
      </c>
      <c r="HI10" t="e">
        <f>AND(List1!X81,"AAAAAG/8XNg=")</f>
        <v>#VALUE!</v>
      </c>
      <c r="HJ10" t="e">
        <f>AND(List1!Y81,"AAAAAG/8XNk=")</f>
        <v>#VALUE!</v>
      </c>
      <c r="HK10" t="e">
        <f>AND(List1!Z81,"AAAAAG/8XNo=")</f>
        <v>#VALUE!</v>
      </c>
      <c r="HL10" t="e">
        <f>AND(List1!AA81,"AAAAAG/8XNs=")</f>
        <v>#VALUE!</v>
      </c>
      <c r="HM10" t="e">
        <f>AND(List1!AB81,"AAAAAG/8XNw=")</f>
        <v>#VALUE!</v>
      </c>
      <c r="HN10" t="e">
        <f>AND(List1!AC81,"AAAAAG/8XN0=")</f>
        <v>#VALUE!</v>
      </c>
      <c r="HO10" t="e">
        <f>AND(List1!AD81,"AAAAAG/8XN4=")</f>
        <v>#VALUE!</v>
      </c>
      <c r="HP10" t="e">
        <f>AND(List1!AE81,"AAAAAG/8XN8=")</f>
        <v>#VALUE!</v>
      </c>
      <c r="HQ10">
        <f>IF(List1!82:82,"AAAAAG/8XOA=",0)</f>
        <v>0</v>
      </c>
      <c r="HR10" t="e">
        <f>AND(List1!A82,"AAAAAG/8XOE=")</f>
        <v>#VALUE!</v>
      </c>
      <c r="HS10" t="e">
        <f>AND(List1!B82,"AAAAAG/8XOI=")</f>
        <v>#VALUE!</v>
      </c>
      <c r="HT10" t="e">
        <f>AND(List1!C82,"AAAAAG/8XOM=")</f>
        <v>#VALUE!</v>
      </c>
      <c r="HU10" t="e">
        <f>AND(List1!D82,"AAAAAG/8XOQ=")</f>
        <v>#VALUE!</v>
      </c>
      <c r="HV10" t="e">
        <f>AND(List1!E82,"AAAAAG/8XOU=")</f>
        <v>#VALUE!</v>
      </c>
      <c r="HW10" t="e">
        <f>AND(List1!F82,"AAAAAG/8XOY=")</f>
        <v>#VALUE!</v>
      </c>
      <c r="HX10" t="e">
        <f>AND(List1!G82,"AAAAAG/8XOc=")</f>
        <v>#VALUE!</v>
      </c>
      <c r="HY10" t="e">
        <f>AND(List1!H82,"AAAAAG/8XOg=")</f>
        <v>#VALUE!</v>
      </c>
      <c r="HZ10" t="e">
        <f>AND(List1!I82,"AAAAAG/8XOk=")</f>
        <v>#VALUE!</v>
      </c>
      <c r="IA10" t="e">
        <f>AND(List1!J82,"AAAAAG/8XOo=")</f>
        <v>#VALUE!</v>
      </c>
      <c r="IB10" t="e">
        <f>AND(List1!K82,"AAAAAG/8XOs=")</f>
        <v>#VALUE!</v>
      </c>
      <c r="IC10" t="e">
        <f>AND(List1!L82,"AAAAAG/8XOw=")</f>
        <v>#VALUE!</v>
      </c>
      <c r="ID10" t="e">
        <f>AND(List1!M82,"AAAAAG/8XO0=")</f>
        <v>#VALUE!</v>
      </c>
      <c r="IE10" t="e">
        <f>AND(List1!N82,"AAAAAG/8XO4=")</f>
        <v>#VALUE!</v>
      </c>
      <c r="IF10" t="e">
        <f>AND(List1!O82,"AAAAAG/8XO8=")</f>
        <v>#VALUE!</v>
      </c>
      <c r="IG10" t="e">
        <f>AND(List1!P82,"AAAAAG/8XPA=")</f>
        <v>#VALUE!</v>
      </c>
      <c r="IH10" t="e">
        <f>AND(List1!Q82,"AAAAAG/8XPE=")</f>
        <v>#VALUE!</v>
      </c>
      <c r="II10" t="e">
        <f>AND(List1!R82,"AAAAAG/8XPI=")</f>
        <v>#VALUE!</v>
      </c>
      <c r="IJ10" t="e">
        <f>AND(List1!S82,"AAAAAG/8XPM=")</f>
        <v>#VALUE!</v>
      </c>
      <c r="IK10" t="e">
        <f>AND(List1!T82,"AAAAAG/8XPQ=")</f>
        <v>#VALUE!</v>
      </c>
      <c r="IL10" t="e">
        <f>AND(List1!U82,"AAAAAG/8XPU=")</f>
        <v>#VALUE!</v>
      </c>
      <c r="IM10" t="e">
        <f>AND(List1!V82,"AAAAAG/8XPY=")</f>
        <v>#VALUE!</v>
      </c>
      <c r="IN10" t="e">
        <f>AND(List1!W82,"AAAAAG/8XPc=")</f>
        <v>#VALUE!</v>
      </c>
      <c r="IO10" t="e">
        <f>AND(List1!X82,"AAAAAG/8XPg=")</f>
        <v>#VALUE!</v>
      </c>
      <c r="IP10" t="e">
        <f>AND(List1!Y82,"AAAAAG/8XPk=")</f>
        <v>#VALUE!</v>
      </c>
      <c r="IQ10" t="e">
        <f>AND(List1!Z82,"AAAAAG/8XPo=")</f>
        <v>#VALUE!</v>
      </c>
      <c r="IR10" t="e">
        <f>AND(List1!AA82,"AAAAAG/8XPs=")</f>
        <v>#VALUE!</v>
      </c>
      <c r="IS10" t="e">
        <f>AND(List1!AB82,"AAAAAG/8XPw=")</f>
        <v>#VALUE!</v>
      </c>
      <c r="IT10" t="e">
        <f>AND(List1!AC82,"AAAAAG/8XP0=")</f>
        <v>#VALUE!</v>
      </c>
      <c r="IU10" t="e">
        <f>AND(List1!AD82,"AAAAAG/8XP4=")</f>
        <v>#VALUE!</v>
      </c>
      <c r="IV10" t="e">
        <f>AND(List1!AE82,"AAAAAG/8XP8=")</f>
        <v>#VALUE!</v>
      </c>
    </row>
    <row r="11" spans="1:256" x14ac:dyDescent="0.25">
      <c r="A11">
        <f>IF(List1!83:83,"AAAAAHuZ+wA=",0)</f>
        <v>0</v>
      </c>
      <c r="B11" t="e">
        <f>AND(List1!A83,"AAAAAHuZ+wE=")</f>
        <v>#VALUE!</v>
      </c>
      <c r="C11" t="e">
        <f>AND(List1!B83,"AAAAAHuZ+wI=")</f>
        <v>#VALUE!</v>
      </c>
      <c r="D11" t="e">
        <f>AND(List1!C83,"AAAAAHuZ+wM=")</f>
        <v>#VALUE!</v>
      </c>
      <c r="E11" t="e">
        <f>AND(List1!D83,"AAAAAHuZ+wQ=")</f>
        <v>#VALUE!</v>
      </c>
      <c r="F11" t="e">
        <f>AND(List1!E83,"AAAAAHuZ+wU=")</f>
        <v>#VALUE!</v>
      </c>
      <c r="G11" t="e">
        <f>AND(List1!F83,"AAAAAHuZ+wY=")</f>
        <v>#VALUE!</v>
      </c>
      <c r="H11" t="e">
        <f>AND(List1!G83,"AAAAAHuZ+wc=")</f>
        <v>#VALUE!</v>
      </c>
      <c r="I11" t="e">
        <f>AND(List1!H83,"AAAAAHuZ+wg=")</f>
        <v>#VALUE!</v>
      </c>
      <c r="J11" t="e">
        <f>AND(List1!I83,"AAAAAHuZ+wk=")</f>
        <v>#VALUE!</v>
      </c>
      <c r="K11" t="e">
        <f>AND(List1!J83,"AAAAAHuZ+wo=")</f>
        <v>#VALUE!</v>
      </c>
      <c r="L11" t="e">
        <f>AND(List1!K83,"AAAAAHuZ+ws=")</f>
        <v>#VALUE!</v>
      </c>
      <c r="M11" t="e">
        <f>AND(List1!L83,"AAAAAHuZ+ww=")</f>
        <v>#VALUE!</v>
      </c>
      <c r="N11" t="e">
        <f>AND(List1!M83,"AAAAAHuZ+w0=")</f>
        <v>#VALUE!</v>
      </c>
      <c r="O11" t="e">
        <f>AND(List1!N83,"AAAAAHuZ+w4=")</f>
        <v>#VALUE!</v>
      </c>
      <c r="P11" t="e">
        <f>AND(List1!O83,"AAAAAHuZ+w8=")</f>
        <v>#VALUE!</v>
      </c>
      <c r="Q11" t="e">
        <f>AND(List1!P83,"AAAAAHuZ+xA=")</f>
        <v>#VALUE!</v>
      </c>
      <c r="R11" t="e">
        <f>AND(List1!Q83,"AAAAAHuZ+xE=")</f>
        <v>#VALUE!</v>
      </c>
      <c r="S11" t="e">
        <f>AND(List1!R83,"AAAAAHuZ+xI=")</f>
        <v>#VALUE!</v>
      </c>
      <c r="T11" t="e">
        <f>AND(List1!S83,"AAAAAHuZ+xM=")</f>
        <v>#VALUE!</v>
      </c>
      <c r="U11" t="e">
        <f>AND(List1!T83,"AAAAAHuZ+xQ=")</f>
        <v>#VALUE!</v>
      </c>
      <c r="V11" t="e">
        <f>AND(List1!U83,"AAAAAHuZ+xU=")</f>
        <v>#VALUE!</v>
      </c>
      <c r="W11" t="e">
        <f>AND(List1!V83,"AAAAAHuZ+xY=")</f>
        <v>#VALUE!</v>
      </c>
      <c r="X11" t="e">
        <f>AND(List1!W83,"AAAAAHuZ+xc=")</f>
        <v>#VALUE!</v>
      </c>
      <c r="Y11" t="e">
        <f>AND(List1!X83,"AAAAAHuZ+xg=")</f>
        <v>#VALUE!</v>
      </c>
      <c r="Z11" t="e">
        <f>AND(List1!Y83,"AAAAAHuZ+xk=")</f>
        <v>#VALUE!</v>
      </c>
      <c r="AA11" t="e">
        <f>AND(List1!Z83,"AAAAAHuZ+xo=")</f>
        <v>#VALUE!</v>
      </c>
      <c r="AB11" t="e">
        <f>AND(List1!AA83,"AAAAAHuZ+xs=")</f>
        <v>#VALUE!</v>
      </c>
      <c r="AC11" t="e">
        <f>AND(List1!AB83,"AAAAAHuZ+xw=")</f>
        <v>#VALUE!</v>
      </c>
      <c r="AD11" t="e">
        <f>AND(List1!AC83,"AAAAAHuZ+x0=")</f>
        <v>#VALUE!</v>
      </c>
      <c r="AE11" t="e">
        <f>AND(List1!AD83,"AAAAAHuZ+x4=")</f>
        <v>#VALUE!</v>
      </c>
      <c r="AF11" t="e">
        <f>AND(List1!AE83,"AAAAAHuZ+x8=")</f>
        <v>#VALUE!</v>
      </c>
      <c r="AG11">
        <f>IF(List1!84:84,"AAAAAHuZ+yA=",0)</f>
        <v>0</v>
      </c>
      <c r="AH11" t="e">
        <f>AND(List1!A84,"AAAAAHuZ+yE=")</f>
        <v>#VALUE!</v>
      </c>
      <c r="AI11" t="e">
        <f>AND(List1!B84,"AAAAAHuZ+yI=")</f>
        <v>#VALUE!</v>
      </c>
      <c r="AJ11" t="e">
        <f>AND(List1!C84,"AAAAAHuZ+yM=")</f>
        <v>#VALUE!</v>
      </c>
      <c r="AK11" t="e">
        <f>AND(List1!D84,"AAAAAHuZ+yQ=")</f>
        <v>#VALUE!</v>
      </c>
      <c r="AL11" t="e">
        <f>AND(List1!E84,"AAAAAHuZ+yU=")</f>
        <v>#VALUE!</v>
      </c>
      <c r="AM11" t="e">
        <f>AND(List1!F84,"AAAAAHuZ+yY=")</f>
        <v>#VALUE!</v>
      </c>
      <c r="AN11" t="e">
        <f>AND(List1!G84,"AAAAAHuZ+yc=")</f>
        <v>#VALUE!</v>
      </c>
      <c r="AO11" t="e">
        <f>AND(List1!H84,"AAAAAHuZ+yg=")</f>
        <v>#VALUE!</v>
      </c>
      <c r="AP11" t="e">
        <f>AND(List1!I84,"AAAAAHuZ+yk=")</f>
        <v>#VALUE!</v>
      </c>
      <c r="AQ11" t="e">
        <f>AND(List1!J84,"AAAAAHuZ+yo=")</f>
        <v>#VALUE!</v>
      </c>
      <c r="AR11" t="e">
        <f>AND(List1!K84,"AAAAAHuZ+ys=")</f>
        <v>#VALUE!</v>
      </c>
      <c r="AS11" t="e">
        <f>AND(List1!L84,"AAAAAHuZ+yw=")</f>
        <v>#VALUE!</v>
      </c>
      <c r="AT11" t="e">
        <f>AND(List1!M84,"AAAAAHuZ+y0=")</f>
        <v>#VALUE!</v>
      </c>
      <c r="AU11" t="e">
        <f>AND(List1!N84,"AAAAAHuZ+y4=")</f>
        <v>#VALUE!</v>
      </c>
      <c r="AV11" t="e">
        <f>AND(List1!O84,"AAAAAHuZ+y8=")</f>
        <v>#VALUE!</v>
      </c>
      <c r="AW11" t="e">
        <f>AND(List1!P84,"AAAAAHuZ+zA=")</f>
        <v>#VALUE!</v>
      </c>
      <c r="AX11" t="e">
        <f>AND(List1!Q84,"AAAAAHuZ+zE=")</f>
        <v>#VALUE!</v>
      </c>
      <c r="AY11" t="e">
        <f>AND(List1!R84,"AAAAAHuZ+zI=")</f>
        <v>#VALUE!</v>
      </c>
      <c r="AZ11" t="e">
        <f>AND(List1!S84,"AAAAAHuZ+zM=")</f>
        <v>#VALUE!</v>
      </c>
      <c r="BA11" t="e">
        <f>AND(List1!T84,"AAAAAHuZ+zQ=")</f>
        <v>#VALUE!</v>
      </c>
      <c r="BB11" t="e">
        <f>AND(List1!U84,"AAAAAHuZ+zU=")</f>
        <v>#VALUE!</v>
      </c>
      <c r="BC11" t="e">
        <f>AND(List1!V84,"AAAAAHuZ+zY=")</f>
        <v>#VALUE!</v>
      </c>
      <c r="BD11" t="e">
        <f>AND(List1!W84,"AAAAAHuZ+zc=")</f>
        <v>#VALUE!</v>
      </c>
      <c r="BE11" t="e">
        <f>AND(List1!X84,"AAAAAHuZ+zg=")</f>
        <v>#VALUE!</v>
      </c>
      <c r="BF11" t="e">
        <f>AND(List1!Y84,"AAAAAHuZ+zk=")</f>
        <v>#VALUE!</v>
      </c>
      <c r="BG11" t="e">
        <f>AND(List1!Z84,"AAAAAHuZ+zo=")</f>
        <v>#VALUE!</v>
      </c>
      <c r="BH11" t="e">
        <f>AND(List1!AA84,"AAAAAHuZ+zs=")</f>
        <v>#VALUE!</v>
      </c>
      <c r="BI11" t="e">
        <f>AND(List1!AB84,"AAAAAHuZ+zw=")</f>
        <v>#VALUE!</v>
      </c>
      <c r="BJ11" t="e">
        <f>AND(List1!AC84,"AAAAAHuZ+z0=")</f>
        <v>#VALUE!</v>
      </c>
      <c r="BK11" t="e">
        <f>AND(List1!AD84,"AAAAAHuZ+z4=")</f>
        <v>#VALUE!</v>
      </c>
      <c r="BL11" t="e">
        <f>AND(List1!AE84,"AAAAAHuZ+z8=")</f>
        <v>#VALUE!</v>
      </c>
      <c r="BM11">
        <f>IF(List1!85:85,"AAAAAHuZ+0A=",0)</f>
        <v>0</v>
      </c>
      <c r="BN11" t="e">
        <f>AND(List1!A85,"AAAAAHuZ+0E=")</f>
        <v>#VALUE!</v>
      </c>
      <c r="BO11" t="e">
        <f>AND(List1!B85,"AAAAAHuZ+0I=")</f>
        <v>#VALUE!</v>
      </c>
      <c r="BP11" t="e">
        <f>AND(List1!C85,"AAAAAHuZ+0M=")</f>
        <v>#VALUE!</v>
      </c>
      <c r="BQ11" t="e">
        <f>AND(List1!D85,"AAAAAHuZ+0Q=")</f>
        <v>#VALUE!</v>
      </c>
      <c r="BR11" t="e">
        <f>AND(List1!E85,"AAAAAHuZ+0U=")</f>
        <v>#VALUE!</v>
      </c>
      <c r="BS11" t="e">
        <f>AND(List1!F85,"AAAAAHuZ+0Y=")</f>
        <v>#VALUE!</v>
      </c>
      <c r="BT11" t="e">
        <f>AND(List1!G85,"AAAAAHuZ+0c=")</f>
        <v>#VALUE!</v>
      </c>
      <c r="BU11" t="e">
        <f>AND(List1!H85,"AAAAAHuZ+0g=")</f>
        <v>#VALUE!</v>
      </c>
      <c r="BV11" t="e">
        <f>AND(List1!I85,"AAAAAHuZ+0k=")</f>
        <v>#VALUE!</v>
      </c>
      <c r="BW11" t="e">
        <f>AND(List1!J85,"AAAAAHuZ+0o=")</f>
        <v>#VALUE!</v>
      </c>
      <c r="BX11" t="e">
        <f>AND(List1!K85,"AAAAAHuZ+0s=")</f>
        <v>#VALUE!</v>
      </c>
      <c r="BY11" t="e">
        <f>AND(List1!L85,"AAAAAHuZ+0w=")</f>
        <v>#VALUE!</v>
      </c>
      <c r="BZ11" t="e">
        <f>AND(List1!M85,"AAAAAHuZ+00=")</f>
        <v>#VALUE!</v>
      </c>
      <c r="CA11" t="e">
        <f>AND(List1!N85,"AAAAAHuZ+04=")</f>
        <v>#VALUE!</v>
      </c>
      <c r="CB11" t="e">
        <f>AND(List1!O85,"AAAAAHuZ+08=")</f>
        <v>#VALUE!</v>
      </c>
      <c r="CC11" t="e">
        <f>AND(List1!P85,"AAAAAHuZ+1A=")</f>
        <v>#VALUE!</v>
      </c>
      <c r="CD11" t="e">
        <f>AND(List1!Q85,"AAAAAHuZ+1E=")</f>
        <v>#VALUE!</v>
      </c>
      <c r="CE11" t="e">
        <f>AND(List1!R85,"AAAAAHuZ+1I=")</f>
        <v>#VALUE!</v>
      </c>
      <c r="CF11" t="e">
        <f>AND(List1!S85,"AAAAAHuZ+1M=")</f>
        <v>#VALUE!</v>
      </c>
      <c r="CG11" t="e">
        <f>AND(List1!T85,"AAAAAHuZ+1Q=")</f>
        <v>#VALUE!</v>
      </c>
      <c r="CH11" t="e">
        <f>AND(List1!U85,"AAAAAHuZ+1U=")</f>
        <v>#VALUE!</v>
      </c>
      <c r="CI11" t="e">
        <f>AND(List1!V85,"AAAAAHuZ+1Y=")</f>
        <v>#VALUE!</v>
      </c>
      <c r="CJ11" t="e">
        <f>AND(List1!W85,"AAAAAHuZ+1c=")</f>
        <v>#VALUE!</v>
      </c>
      <c r="CK11" t="e">
        <f>AND(List1!X85,"AAAAAHuZ+1g=")</f>
        <v>#VALUE!</v>
      </c>
      <c r="CL11" t="e">
        <f>AND(List1!Y85,"AAAAAHuZ+1k=")</f>
        <v>#VALUE!</v>
      </c>
      <c r="CM11" t="e">
        <f>AND(List1!Z85,"AAAAAHuZ+1o=")</f>
        <v>#VALUE!</v>
      </c>
      <c r="CN11" t="e">
        <f>AND(List1!AA85,"AAAAAHuZ+1s=")</f>
        <v>#VALUE!</v>
      </c>
      <c r="CO11" t="e">
        <f>AND(List1!AB85,"AAAAAHuZ+1w=")</f>
        <v>#VALUE!</v>
      </c>
      <c r="CP11" t="e">
        <f>AND(List1!AC85,"AAAAAHuZ+10=")</f>
        <v>#VALUE!</v>
      </c>
      <c r="CQ11" t="e">
        <f>AND(List1!AD85,"AAAAAHuZ+14=")</f>
        <v>#VALUE!</v>
      </c>
      <c r="CR11" t="e">
        <f>AND(List1!AE85,"AAAAAHuZ+18=")</f>
        <v>#VALUE!</v>
      </c>
      <c r="CS11">
        <f>IF(List1!86:86,"AAAAAHuZ+2A=",0)</f>
        <v>0</v>
      </c>
      <c r="CT11" t="e">
        <f>AND(List1!A86,"AAAAAHuZ+2E=")</f>
        <v>#VALUE!</v>
      </c>
      <c r="CU11" t="e">
        <f>AND(List1!B86,"AAAAAHuZ+2I=")</f>
        <v>#VALUE!</v>
      </c>
      <c r="CV11" t="e">
        <f>AND(List1!C86,"AAAAAHuZ+2M=")</f>
        <v>#VALUE!</v>
      </c>
      <c r="CW11" t="e">
        <f>AND(List1!D86,"AAAAAHuZ+2Q=")</f>
        <v>#VALUE!</v>
      </c>
      <c r="CX11" t="e">
        <f>AND(List1!E86,"AAAAAHuZ+2U=")</f>
        <v>#VALUE!</v>
      </c>
      <c r="CY11" t="e">
        <f>AND(List1!F86,"AAAAAHuZ+2Y=")</f>
        <v>#VALUE!</v>
      </c>
      <c r="CZ11" t="e">
        <f>AND(List1!G86,"AAAAAHuZ+2c=")</f>
        <v>#VALUE!</v>
      </c>
      <c r="DA11" t="e">
        <f>AND(List1!H86,"AAAAAHuZ+2g=")</f>
        <v>#VALUE!</v>
      </c>
      <c r="DB11" t="e">
        <f>AND(List1!I86,"AAAAAHuZ+2k=")</f>
        <v>#VALUE!</v>
      </c>
      <c r="DC11" t="e">
        <f>AND(List1!J86,"AAAAAHuZ+2o=")</f>
        <v>#VALUE!</v>
      </c>
      <c r="DD11" t="e">
        <f>AND(List1!K86,"AAAAAHuZ+2s=")</f>
        <v>#VALUE!</v>
      </c>
      <c r="DE11" t="e">
        <f>AND(List1!L86,"AAAAAHuZ+2w=")</f>
        <v>#VALUE!</v>
      </c>
      <c r="DF11" t="e">
        <f>AND(List1!M86,"AAAAAHuZ+20=")</f>
        <v>#VALUE!</v>
      </c>
      <c r="DG11" t="e">
        <f>AND(List1!N86,"AAAAAHuZ+24=")</f>
        <v>#VALUE!</v>
      </c>
      <c r="DH11" t="e">
        <f>AND(List1!O86,"AAAAAHuZ+28=")</f>
        <v>#VALUE!</v>
      </c>
      <c r="DI11" t="e">
        <f>AND(List1!P86,"AAAAAHuZ+3A=")</f>
        <v>#VALUE!</v>
      </c>
      <c r="DJ11" t="e">
        <f>AND(List1!Q86,"AAAAAHuZ+3E=")</f>
        <v>#VALUE!</v>
      </c>
      <c r="DK11" t="e">
        <f>AND(List1!R86,"AAAAAHuZ+3I=")</f>
        <v>#VALUE!</v>
      </c>
      <c r="DL11" t="e">
        <f>AND(List1!S86,"AAAAAHuZ+3M=")</f>
        <v>#VALUE!</v>
      </c>
      <c r="DM11" t="e">
        <f>AND(List1!T86,"AAAAAHuZ+3Q=")</f>
        <v>#VALUE!</v>
      </c>
      <c r="DN11" t="e">
        <f>AND(List1!U86,"AAAAAHuZ+3U=")</f>
        <v>#VALUE!</v>
      </c>
      <c r="DO11" t="e">
        <f>AND(List1!V86,"AAAAAHuZ+3Y=")</f>
        <v>#VALUE!</v>
      </c>
      <c r="DP11" t="e">
        <f>AND(List1!W86,"AAAAAHuZ+3c=")</f>
        <v>#VALUE!</v>
      </c>
      <c r="DQ11" t="e">
        <f>AND(List1!X86,"AAAAAHuZ+3g=")</f>
        <v>#VALUE!</v>
      </c>
      <c r="DR11" t="e">
        <f>AND(List1!Y86,"AAAAAHuZ+3k=")</f>
        <v>#VALUE!</v>
      </c>
      <c r="DS11" t="e">
        <f>AND(List1!Z86,"AAAAAHuZ+3o=")</f>
        <v>#VALUE!</v>
      </c>
      <c r="DT11" t="e">
        <f>AND(List1!AA86,"AAAAAHuZ+3s=")</f>
        <v>#VALUE!</v>
      </c>
      <c r="DU11" t="e">
        <f>AND(List1!AB86,"AAAAAHuZ+3w=")</f>
        <v>#VALUE!</v>
      </c>
      <c r="DV11" t="e">
        <f>AND(List1!AC86,"AAAAAHuZ+30=")</f>
        <v>#VALUE!</v>
      </c>
      <c r="DW11" t="e">
        <f>AND(List1!AD86,"AAAAAHuZ+34=")</f>
        <v>#VALUE!</v>
      </c>
      <c r="DX11" t="e">
        <f>AND(List1!AE86,"AAAAAHuZ+38=")</f>
        <v>#VALUE!</v>
      </c>
      <c r="DY11">
        <f>IF(List1!87:87,"AAAAAHuZ+4A=",0)</f>
        <v>0</v>
      </c>
      <c r="DZ11" t="e">
        <f>AND(List1!A87,"AAAAAHuZ+4E=")</f>
        <v>#VALUE!</v>
      </c>
      <c r="EA11" t="e">
        <f>AND(List1!B87,"AAAAAHuZ+4I=")</f>
        <v>#VALUE!</v>
      </c>
      <c r="EB11" t="e">
        <f>AND(List1!C87,"AAAAAHuZ+4M=")</f>
        <v>#VALUE!</v>
      </c>
      <c r="EC11" t="e">
        <f>AND(List1!D87,"AAAAAHuZ+4Q=")</f>
        <v>#VALUE!</v>
      </c>
      <c r="ED11" t="e">
        <f>AND(List1!E87,"AAAAAHuZ+4U=")</f>
        <v>#VALUE!</v>
      </c>
      <c r="EE11" t="e">
        <f>AND(List1!F87,"AAAAAHuZ+4Y=")</f>
        <v>#VALUE!</v>
      </c>
      <c r="EF11" t="e">
        <f>AND(List1!G87,"AAAAAHuZ+4c=")</f>
        <v>#VALUE!</v>
      </c>
      <c r="EG11" t="e">
        <f>AND(List1!H87,"AAAAAHuZ+4g=")</f>
        <v>#VALUE!</v>
      </c>
      <c r="EH11" t="e">
        <f>AND(List1!I87,"AAAAAHuZ+4k=")</f>
        <v>#VALUE!</v>
      </c>
      <c r="EI11" t="e">
        <f>AND(List1!J87,"AAAAAHuZ+4o=")</f>
        <v>#VALUE!</v>
      </c>
      <c r="EJ11" t="e">
        <f>AND(List1!K87,"AAAAAHuZ+4s=")</f>
        <v>#VALUE!</v>
      </c>
      <c r="EK11" t="e">
        <f>AND(List1!L87,"AAAAAHuZ+4w=")</f>
        <v>#VALUE!</v>
      </c>
      <c r="EL11" t="e">
        <f>AND(List1!M87,"AAAAAHuZ+40=")</f>
        <v>#VALUE!</v>
      </c>
      <c r="EM11" t="e">
        <f>AND(List1!N87,"AAAAAHuZ+44=")</f>
        <v>#VALUE!</v>
      </c>
      <c r="EN11" t="e">
        <f>AND(List1!O87,"AAAAAHuZ+48=")</f>
        <v>#VALUE!</v>
      </c>
      <c r="EO11" t="e">
        <f>AND(List1!P87,"AAAAAHuZ+5A=")</f>
        <v>#VALUE!</v>
      </c>
      <c r="EP11" t="e">
        <f>AND(List1!Q87,"AAAAAHuZ+5E=")</f>
        <v>#VALUE!</v>
      </c>
      <c r="EQ11" t="e">
        <f>AND(List1!R87,"AAAAAHuZ+5I=")</f>
        <v>#VALUE!</v>
      </c>
      <c r="ER11" t="e">
        <f>AND(List1!S87,"AAAAAHuZ+5M=")</f>
        <v>#VALUE!</v>
      </c>
      <c r="ES11" t="e">
        <f>AND(List1!T87,"AAAAAHuZ+5Q=")</f>
        <v>#VALUE!</v>
      </c>
      <c r="ET11" t="e">
        <f>AND(List1!U87,"AAAAAHuZ+5U=")</f>
        <v>#VALUE!</v>
      </c>
      <c r="EU11" t="e">
        <f>AND(List1!V87,"AAAAAHuZ+5Y=")</f>
        <v>#VALUE!</v>
      </c>
      <c r="EV11" t="e">
        <f>AND(List1!W87,"AAAAAHuZ+5c=")</f>
        <v>#VALUE!</v>
      </c>
      <c r="EW11" t="e">
        <f>AND(List1!X87,"AAAAAHuZ+5g=")</f>
        <v>#VALUE!</v>
      </c>
      <c r="EX11" t="e">
        <f>AND(List1!Y87,"AAAAAHuZ+5k=")</f>
        <v>#VALUE!</v>
      </c>
      <c r="EY11" t="e">
        <f>AND(List1!Z87,"AAAAAHuZ+5o=")</f>
        <v>#VALUE!</v>
      </c>
      <c r="EZ11" t="e">
        <f>AND(List1!AA87,"AAAAAHuZ+5s=")</f>
        <v>#VALUE!</v>
      </c>
      <c r="FA11" t="e">
        <f>AND(List1!AB87,"AAAAAHuZ+5w=")</f>
        <v>#VALUE!</v>
      </c>
      <c r="FB11" t="e">
        <f>AND(List1!AC87,"AAAAAHuZ+50=")</f>
        <v>#VALUE!</v>
      </c>
      <c r="FC11" t="e">
        <f>AND(List1!AD87,"AAAAAHuZ+54=")</f>
        <v>#VALUE!</v>
      </c>
      <c r="FD11" t="e">
        <f>AND(List1!AE87,"AAAAAHuZ+58=")</f>
        <v>#VALUE!</v>
      </c>
      <c r="FE11">
        <f>IF(List1!88:88,"AAAAAHuZ+6A=",0)</f>
        <v>0</v>
      </c>
      <c r="FF11" t="e">
        <f>AND(List1!A88,"AAAAAHuZ+6E=")</f>
        <v>#VALUE!</v>
      </c>
      <c r="FG11" t="e">
        <f>AND(List1!B88,"AAAAAHuZ+6I=")</f>
        <v>#VALUE!</v>
      </c>
      <c r="FH11" t="e">
        <f>AND(List1!C88,"AAAAAHuZ+6M=")</f>
        <v>#VALUE!</v>
      </c>
      <c r="FI11" t="e">
        <f>AND(List1!D88,"AAAAAHuZ+6Q=")</f>
        <v>#VALUE!</v>
      </c>
      <c r="FJ11" t="e">
        <f>AND(List1!E88,"AAAAAHuZ+6U=")</f>
        <v>#VALUE!</v>
      </c>
      <c r="FK11" t="e">
        <f>AND(List1!F88,"AAAAAHuZ+6Y=")</f>
        <v>#VALUE!</v>
      </c>
      <c r="FL11" t="e">
        <f>AND(List1!G88,"AAAAAHuZ+6c=")</f>
        <v>#VALUE!</v>
      </c>
      <c r="FM11" t="e">
        <f>AND(List1!H88,"AAAAAHuZ+6g=")</f>
        <v>#VALUE!</v>
      </c>
      <c r="FN11" t="e">
        <f>AND(List1!I88,"AAAAAHuZ+6k=")</f>
        <v>#VALUE!</v>
      </c>
      <c r="FO11" t="e">
        <f>AND(List1!J88,"AAAAAHuZ+6o=")</f>
        <v>#VALUE!</v>
      </c>
      <c r="FP11" t="e">
        <f>AND(List1!K88,"AAAAAHuZ+6s=")</f>
        <v>#VALUE!</v>
      </c>
      <c r="FQ11" t="e">
        <f>AND(List1!L88,"AAAAAHuZ+6w=")</f>
        <v>#VALUE!</v>
      </c>
      <c r="FR11" t="e">
        <f>AND(List1!M88,"AAAAAHuZ+60=")</f>
        <v>#VALUE!</v>
      </c>
      <c r="FS11" t="e">
        <f>AND(List1!N88,"AAAAAHuZ+64=")</f>
        <v>#VALUE!</v>
      </c>
      <c r="FT11" t="e">
        <f>AND(List1!O88,"AAAAAHuZ+68=")</f>
        <v>#VALUE!</v>
      </c>
      <c r="FU11" t="e">
        <f>AND(List1!P88,"AAAAAHuZ+7A=")</f>
        <v>#VALUE!</v>
      </c>
      <c r="FV11" t="e">
        <f>AND(List1!Q88,"AAAAAHuZ+7E=")</f>
        <v>#VALUE!</v>
      </c>
      <c r="FW11" t="e">
        <f>AND(List1!R88,"AAAAAHuZ+7I=")</f>
        <v>#VALUE!</v>
      </c>
      <c r="FX11" t="e">
        <f>AND(List1!S88,"AAAAAHuZ+7M=")</f>
        <v>#VALUE!</v>
      </c>
      <c r="FY11" t="e">
        <f>AND(List1!T88,"AAAAAHuZ+7Q=")</f>
        <v>#VALUE!</v>
      </c>
      <c r="FZ11" t="e">
        <f>AND(List1!U88,"AAAAAHuZ+7U=")</f>
        <v>#VALUE!</v>
      </c>
      <c r="GA11" t="e">
        <f>AND(List1!V88,"AAAAAHuZ+7Y=")</f>
        <v>#VALUE!</v>
      </c>
      <c r="GB11" t="e">
        <f>AND(List1!W88,"AAAAAHuZ+7c=")</f>
        <v>#VALUE!</v>
      </c>
      <c r="GC11" t="e">
        <f>AND(List1!X88,"AAAAAHuZ+7g=")</f>
        <v>#VALUE!</v>
      </c>
      <c r="GD11" t="e">
        <f>AND(List1!Y88,"AAAAAHuZ+7k=")</f>
        <v>#VALUE!</v>
      </c>
      <c r="GE11" t="e">
        <f>AND(List1!Z88,"AAAAAHuZ+7o=")</f>
        <v>#VALUE!</v>
      </c>
      <c r="GF11" t="e">
        <f>AND(List1!AA88,"AAAAAHuZ+7s=")</f>
        <v>#VALUE!</v>
      </c>
      <c r="GG11" t="e">
        <f>AND(List1!AB88,"AAAAAHuZ+7w=")</f>
        <v>#VALUE!</v>
      </c>
      <c r="GH11" t="e">
        <f>AND(List1!AC88,"AAAAAHuZ+70=")</f>
        <v>#VALUE!</v>
      </c>
      <c r="GI11" t="e">
        <f>AND(List1!AD88,"AAAAAHuZ+74=")</f>
        <v>#VALUE!</v>
      </c>
      <c r="GJ11" t="e">
        <f>AND(List1!AE88,"AAAAAHuZ+78=")</f>
        <v>#VALUE!</v>
      </c>
      <c r="GK11">
        <f>IF(List1!89:89,"AAAAAHuZ+8A=",0)</f>
        <v>0</v>
      </c>
      <c r="GL11" t="e">
        <f>AND(List1!A89,"AAAAAHuZ+8E=")</f>
        <v>#VALUE!</v>
      </c>
      <c r="GM11" t="e">
        <f>AND(List1!B89,"AAAAAHuZ+8I=")</f>
        <v>#VALUE!</v>
      </c>
      <c r="GN11" t="e">
        <f>AND(List1!C89,"AAAAAHuZ+8M=")</f>
        <v>#VALUE!</v>
      </c>
      <c r="GO11" t="e">
        <f>AND(List1!D89,"AAAAAHuZ+8Q=")</f>
        <v>#VALUE!</v>
      </c>
      <c r="GP11" t="e">
        <f>AND(List1!E89,"AAAAAHuZ+8U=")</f>
        <v>#VALUE!</v>
      </c>
      <c r="GQ11" t="e">
        <f>AND(List1!F89,"AAAAAHuZ+8Y=")</f>
        <v>#VALUE!</v>
      </c>
      <c r="GR11" t="e">
        <f>AND(List1!G89,"AAAAAHuZ+8c=")</f>
        <v>#VALUE!</v>
      </c>
      <c r="GS11" t="e">
        <f>AND(List1!H89,"AAAAAHuZ+8g=")</f>
        <v>#VALUE!</v>
      </c>
      <c r="GT11" t="e">
        <f>AND(List1!I89,"AAAAAHuZ+8k=")</f>
        <v>#VALUE!</v>
      </c>
      <c r="GU11" t="e">
        <f>AND(List1!J89,"AAAAAHuZ+8o=")</f>
        <v>#VALUE!</v>
      </c>
      <c r="GV11" t="e">
        <f>AND(List1!K89,"AAAAAHuZ+8s=")</f>
        <v>#VALUE!</v>
      </c>
      <c r="GW11" t="e">
        <f>AND(List1!L89,"AAAAAHuZ+8w=")</f>
        <v>#VALUE!</v>
      </c>
      <c r="GX11" t="e">
        <f>AND(List1!M89,"AAAAAHuZ+80=")</f>
        <v>#VALUE!</v>
      </c>
      <c r="GY11" t="e">
        <f>AND(List1!N89,"AAAAAHuZ+84=")</f>
        <v>#VALUE!</v>
      </c>
      <c r="GZ11" t="e">
        <f>AND(List1!O89,"AAAAAHuZ+88=")</f>
        <v>#VALUE!</v>
      </c>
      <c r="HA11" t="e">
        <f>AND(List1!P89,"AAAAAHuZ+9A=")</f>
        <v>#VALUE!</v>
      </c>
      <c r="HB11" t="e">
        <f>AND(List1!Q89,"AAAAAHuZ+9E=")</f>
        <v>#VALUE!</v>
      </c>
      <c r="HC11" t="e">
        <f>AND(List1!R89,"AAAAAHuZ+9I=")</f>
        <v>#VALUE!</v>
      </c>
      <c r="HD11" t="e">
        <f>AND(List1!S89,"AAAAAHuZ+9M=")</f>
        <v>#VALUE!</v>
      </c>
      <c r="HE11" t="e">
        <f>AND(List1!T89,"AAAAAHuZ+9Q=")</f>
        <v>#VALUE!</v>
      </c>
      <c r="HF11" t="e">
        <f>AND(List1!U89,"AAAAAHuZ+9U=")</f>
        <v>#VALUE!</v>
      </c>
      <c r="HG11" t="e">
        <f>AND(List1!V89,"AAAAAHuZ+9Y=")</f>
        <v>#VALUE!</v>
      </c>
      <c r="HH11" t="e">
        <f>AND(List1!W89,"AAAAAHuZ+9c=")</f>
        <v>#VALUE!</v>
      </c>
      <c r="HI11" t="e">
        <f>AND(List1!X89,"AAAAAHuZ+9g=")</f>
        <v>#VALUE!</v>
      </c>
      <c r="HJ11" t="e">
        <f>AND(List1!Y89,"AAAAAHuZ+9k=")</f>
        <v>#VALUE!</v>
      </c>
      <c r="HK11" t="e">
        <f>AND(List1!Z89,"AAAAAHuZ+9o=")</f>
        <v>#VALUE!</v>
      </c>
      <c r="HL11" t="e">
        <f>AND(List1!AA89,"AAAAAHuZ+9s=")</f>
        <v>#VALUE!</v>
      </c>
      <c r="HM11" t="e">
        <f>AND(List1!AB89,"AAAAAHuZ+9w=")</f>
        <v>#VALUE!</v>
      </c>
      <c r="HN11" t="e">
        <f>AND(List1!AC89,"AAAAAHuZ+90=")</f>
        <v>#VALUE!</v>
      </c>
      <c r="HO11" t="e">
        <f>AND(List1!AD89,"AAAAAHuZ+94=")</f>
        <v>#VALUE!</v>
      </c>
      <c r="HP11" t="e">
        <f>AND(List1!AE89,"AAAAAHuZ+98=")</f>
        <v>#VALUE!</v>
      </c>
      <c r="HQ11">
        <f>IF(List1!A:A,"AAAAAHuZ++A=",0)</f>
        <v>0</v>
      </c>
      <c r="HR11" t="e">
        <f>IF(List1!B:B,"AAAAAHuZ++E=",0)</f>
        <v>#VALUE!</v>
      </c>
      <c r="HS11">
        <f>IF(List1!C:C,"AAAAAHuZ++I=",0)</f>
        <v>0</v>
      </c>
      <c r="HT11">
        <f>IF(List1!D:D,"AAAAAHuZ++M=",0)</f>
        <v>0</v>
      </c>
      <c r="HU11">
        <f>IF(List1!E:E,"AAAAAHuZ++Q=",0)</f>
        <v>0</v>
      </c>
      <c r="HV11">
        <f>IF(List1!F:F,"AAAAAHuZ++U=",0)</f>
        <v>0</v>
      </c>
      <c r="HW11">
        <f>IF(List1!G:G,"AAAAAHuZ++Y=",0)</f>
        <v>0</v>
      </c>
      <c r="HX11">
        <f>IF(List1!H:H,"AAAAAHuZ++c=",0)</f>
        <v>0</v>
      </c>
      <c r="HY11" t="e">
        <f>IF(List1!I:I,"AAAAAHuZ++g=",0)</f>
        <v>#VALUE!</v>
      </c>
      <c r="HZ11">
        <f>IF(List1!J:J,"AAAAAHuZ++k=",0)</f>
        <v>0</v>
      </c>
      <c r="IA11">
        <f>IF(List1!K:K,"AAAAAHuZ++o=",0)</f>
        <v>0</v>
      </c>
      <c r="IB11">
        <f>IF(List1!L:L,"AAAAAHuZ++s=",0)</f>
        <v>0</v>
      </c>
      <c r="IC11">
        <f>IF(List1!M:M,"AAAAAHuZ++w=",0)</f>
        <v>0</v>
      </c>
      <c r="ID11">
        <f>IF(List1!N:N,"AAAAAHuZ++0=",0)</f>
        <v>0</v>
      </c>
      <c r="IE11">
        <f>IF(List1!O:O,"AAAAAHuZ++4=",0)</f>
        <v>0</v>
      </c>
      <c r="IF11">
        <f>IF(List1!P:P,"AAAAAHuZ++8=",0)</f>
        <v>0</v>
      </c>
      <c r="IG11">
        <f>IF(List1!Q:Q,"AAAAAHuZ+/A=",0)</f>
        <v>0</v>
      </c>
      <c r="IH11">
        <f>IF(List1!R:R,"AAAAAHuZ+/E=",0)</f>
        <v>0</v>
      </c>
      <c r="II11">
        <f>IF(List1!S:S,"AAAAAHuZ+/I=",0)</f>
        <v>0</v>
      </c>
      <c r="IJ11">
        <f>IF(List1!T:T,"AAAAAHuZ+/M=",0)</f>
        <v>0</v>
      </c>
      <c r="IK11">
        <f>IF(List1!U:U,"AAAAAHuZ+/Q=",0)</f>
        <v>0</v>
      </c>
      <c r="IL11">
        <f>IF(List1!V:V,"AAAAAHuZ+/U=",0)</f>
        <v>0</v>
      </c>
      <c r="IM11">
        <f>IF(List1!W:W,"AAAAAHuZ+/Y=",0)</f>
        <v>0</v>
      </c>
      <c r="IN11">
        <f>IF(List1!X:X,"AAAAAHuZ+/c=",0)</f>
        <v>0</v>
      </c>
      <c r="IO11">
        <f>IF(List1!Y:Y,"AAAAAHuZ+/g=",0)</f>
        <v>0</v>
      </c>
      <c r="IP11">
        <f>IF(List1!Z:Z,"AAAAAHuZ+/k=",0)</f>
        <v>0</v>
      </c>
      <c r="IQ11">
        <f>IF(List1!AA:AA,"AAAAAHuZ+/o=",0)</f>
        <v>0</v>
      </c>
      <c r="IR11">
        <f>IF(List1!AB:AB,"AAAAAHuZ+/s=",0)</f>
        <v>0</v>
      </c>
      <c r="IS11">
        <f>IF(List1!AC:AC,"AAAAAHuZ+/w=",0)</f>
        <v>0</v>
      </c>
      <c r="IT11">
        <f>IF(List1!AD:AD,"AAAAAHuZ+/0=",0)</f>
        <v>0</v>
      </c>
      <c r="IU11">
        <f>IF(List1!AE:AE,"AAAAAHuZ+/4=",0)</f>
        <v>0</v>
      </c>
    </row>
  </sheetData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Fábera</dc:creator>
  <cp:lastModifiedBy>TV</cp:lastModifiedBy>
  <cp:lastPrinted>2021-11-26T14:21:07Z</cp:lastPrinted>
  <dcterms:created xsi:type="dcterms:W3CDTF">2005-03-14T09:10:34Z</dcterms:created>
  <dcterms:modified xsi:type="dcterms:W3CDTF">2023-11-29T09:14:54Z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1w9UkrgUZKfi9Qr_BdOjIxUiSVtBPxybFyO4Ch62YGFQ</vt:lpwstr>
  </property>
  <property fmtid="{D5CDD505-2E9C-101B-9397-08002B2CF9AE}" pid="4" name="Google.Documents.RevisionId">
    <vt:lpwstr>06555890010178791270</vt:lpwstr>
  </property>
  <property fmtid="{D5CDD505-2E9C-101B-9397-08002B2CF9AE}" pid="5" name="Google.Documents.PluginVersion">
    <vt:lpwstr>2.0.2662.553</vt:lpwstr>
  </property>
  <property fmtid="{D5CDD505-2E9C-101B-9397-08002B2CF9AE}" pid="6" name="Google.Documents.MergeIncapabilityFlags">
    <vt:i4>0</vt:i4>
  </property>
</Properties>
</file>